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5180" windowHeight="7650" tabRatio="909" activeTab="5"/>
  </bookViews>
  <sheets>
    <sheet name="мун.задание" sheetId="1" r:id="rId1"/>
    <sheet name="вспомогательная таблица" sheetId="2" r:id="rId2"/>
    <sheet name="прил.1+2" sheetId="3" r:id="rId3"/>
    <sheet name="прил.3" sheetId="4" r:id="rId4"/>
    <sheet name="прил.4" sheetId="5" r:id="rId5"/>
    <sheet name="прил.5" sheetId="6" r:id="rId6"/>
    <sheet name="прил.6" sheetId="7" r:id="rId7"/>
    <sheet name="свод " sheetId="8" r:id="rId8"/>
    <sheet name="проверка" sheetId="9" r:id="rId9"/>
    <sheet name="касса" sheetId="10" state="hidden" r:id="rId10"/>
    <sheet name="отчет 1433-2" sheetId="11" state="hidden" r:id="rId11"/>
    <sheet name="отчет1433-1" sheetId="12" state="hidden" r:id="rId12"/>
    <sheet name="1433-9мес" sheetId="13" state="hidden" r:id="rId13"/>
  </sheets>
  <externalReferences>
    <externalReference r:id="rId16"/>
    <externalReference r:id="rId17"/>
  </externalReferences>
  <definedNames>
    <definedName name="_xlnm.Print_Titles" localSheetId="7">'свод '!$8:$8</definedName>
    <definedName name="_xlnm.Print_Area" localSheetId="1">'вспомогательная таблица'!$B$1:$T$37</definedName>
    <definedName name="_xlnm.Print_Area" localSheetId="9">'касса'!$A$1:$S$31</definedName>
    <definedName name="_xlnm.Print_Area" localSheetId="0">'мун.задание'!$A$1:$R$226</definedName>
    <definedName name="_xlnm.Print_Area" localSheetId="10">'отчет 1433-2'!#REF!</definedName>
    <definedName name="_xlnm.Print_Area" localSheetId="2">'прил.1+2'!$B$1:$I$48</definedName>
    <definedName name="_xlnm.Print_Area" localSheetId="7">'свод '!$A$1:$F$125</definedName>
  </definedNames>
  <calcPr fullCalcOnLoad="1"/>
</workbook>
</file>

<file path=xl/sharedStrings.xml><?xml version="1.0" encoding="utf-8"?>
<sst xmlns="http://schemas.openxmlformats.org/spreadsheetml/2006/main" count="1077" uniqueCount="437">
  <si>
    <t>количество месяцев</t>
  </si>
  <si>
    <t>k увеличения</t>
  </si>
  <si>
    <t>норматив</t>
  </si>
  <si>
    <t>начисления на оплату труда</t>
  </si>
  <si>
    <t>Расчет норматива затрат ,непосредственно связанных с оказанием муниципальной услуги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</si>
  <si>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</si>
  <si>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Расчет норматива затрат ,непосредственно  не связанных с оказанием муниципальной услуги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</si>
  <si>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</t>
  </si>
  <si>
    <t>тариф</t>
  </si>
  <si>
    <t>объем потребления</t>
  </si>
  <si>
    <t>нормативные затраты на коммунальные услуги</t>
  </si>
  <si>
    <t>горячее водоснабжение</t>
  </si>
  <si>
    <t>тепловая  энергия</t>
  </si>
  <si>
    <t>электрическая энергия</t>
  </si>
  <si>
    <t>вывоз жидких бытовых отходов и объемов жидких бытовых отходов</t>
  </si>
  <si>
    <t>Нормативные затраты на коммунальные услуги</t>
  </si>
  <si>
    <t>стоимость</t>
  </si>
  <si>
    <t>количество ед. услуг</t>
  </si>
  <si>
    <t xml:space="preserve">нормативные затраты </t>
  </si>
  <si>
    <t xml:space="preserve">Нормативные затраты на содержание недвижимого имущества </t>
  </si>
  <si>
    <t xml:space="preserve">Нормативные затраты на приобретение услуг связи и приобретение транспортных услуг </t>
  </si>
  <si>
    <t xml:space="preserve">приобретение транспортных услуг </t>
  </si>
  <si>
    <t>итого затрат</t>
  </si>
  <si>
    <t>налогооблагаемая база</t>
  </si>
  <si>
    <t>ставка налога</t>
  </si>
  <si>
    <t>Нормативные затраты на уплату налогов</t>
  </si>
  <si>
    <t>Налог на землю</t>
  </si>
  <si>
    <t>Налог на имущество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</si>
  <si>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</si>
  <si>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</si>
  <si>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</si>
  <si>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</si>
  <si>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</si>
  <si>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</si>
  <si>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</si>
  <si>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</si>
  <si>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</si>
  <si>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</si>
  <si>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</si>
  <si>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</si>
  <si>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</si>
  <si>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</si>
  <si>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</si>
  <si>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</si>
  <si>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</si>
  <si>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</si>
  <si>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подготовке УУТЭ к осенне-зимнему сезону</t>
  </si>
  <si>
    <t>Работы по испытанию теплового ввода</t>
  </si>
  <si>
    <t>Работы по промывке теплового ввода</t>
  </si>
  <si>
    <t>Услуги по страхованию здания</t>
  </si>
  <si>
    <t>Услуги по обследованию дымоходов</t>
  </si>
  <si>
    <t>Работы по проверке приборов учета</t>
  </si>
  <si>
    <t>Услуги обучения электротехническому минимуму</t>
  </si>
  <si>
    <t>Услуги обучения по эксплуатации тепловых систем</t>
  </si>
  <si>
    <t>Услуги обучения пожарно-техническому минимуму</t>
  </si>
  <si>
    <t>Услуги по приобретению материалов для текущего ремонта</t>
  </si>
  <si>
    <t>Работы текущего ремонта здания и помещений</t>
  </si>
  <si>
    <t>- налог на имущество</t>
  </si>
  <si>
    <t>руб.</t>
  </si>
  <si>
    <t>- налог на землю</t>
  </si>
  <si>
    <t>Нормативные   затраты   на   приобретение   материальных   запасов, потребляемых в процессе оказания муниципальной услуги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</si>
  <si>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</si>
  <si>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</si>
  <si>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</si>
  <si>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</si>
  <si>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</si>
  <si>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</si>
  <si>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</si>
  <si>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</si>
  <si>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водоотведение</t>
  </si>
  <si>
    <t>холодное водоснабжение</t>
  </si>
  <si>
    <t>2. Затраты, на общехозяйственные нужды.</t>
  </si>
  <si>
    <t>итого</t>
  </si>
  <si>
    <t>интрнет</t>
  </si>
  <si>
    <t>приобретение услуг связи (абонентская плата)</t>
  </si>
  <si>
    <t>поминутная оплата</t>
  </si>
  <si>
    <t>вывоз мусора</t>
  </si>
  <si>
    <t>дератизация</t>
  </si>
  <si>
    <t>тех.обслуживание пожарной сигнализации</t>
  </si>
  <si>
    <t>Тревожная кнопка</t>
  </si>
  <si>
    <t>Утилизация ртутосодержащих отходов</t>
  </si>
  <si>
    <t>Прочие нормативные затраты на общехозяйственные нужды</t>
  </si>
  <si>
    <t xml:space="preserve">приобретение услуг связи </t>
  </si>
  <si>
    <t>Услуги по вывозу мусора</t>
  </si>
  <si>
    <t>Услуги по тех.обслуживание ТС</t>
  </si>
  <si>
    <t>Услуги по дератизации</t>
  </si>
  <si>
    <t>Услуги тех.обслуживанию пожарной сигнализации</t>
  </si>
  <si>
    <t>Услуги тревожная кнопка</t>
  </si>
  <si>
    <t>Услуги по утилизация ртутосодержащих отходов</t>
  </si>
  <si>
    <t xml:space="preserve">Всего </t>
  </si>
  <si>
    <t xml:space="preserve"> </t>
  </si>
  <si>
    <t>транспортный налог</t>
  </si>
  <si>
    <t>экологический сбор</t>
  </si>
  <si>
    <t>КОСГУ</t>
  </si>
  <si>
    <t>смета</t>
  </si>
  <si>
    <t>отклонение</t>
  </si>
  <si>
    <t>всего</t>
  </si>
  <si>
    <t xml:space="preserve">3. Затраты на содержание движимого имущества </t>
  </si>
  <si>
    <t>Тех.обслуживание</t>
  </si>
  <si>
    <t>Текущий ремонт</t>
  </si>
  <si>
    <t>ГСМ</t>
  </si>
  <si>
    <t>Зап.части</t>
  </si>
  <si>
    <t>Лакокрасочные материалы</t>
  </si>
  <si>
    <t>Автострахование</t>
  </si>
  <si>
    <t xml:space="preserve">Нормативные затраты на содержание движимого имущества </t>
  </si>
  <si>
    <t>Нормативные затраты на материальные запасы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</si>
  <si>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</si>
  <si>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 xml:space="preserve"> Прочие нормативные затраты на содержание  движимого имущества</t>
  </si>
  <si>
    <t>текущий ремонт оборудования</t>
  </si>
  <si>
    <t>гос.пошлина</t>
  </si>
  <si>
    <t>нормативные затраты на коммунальные услуги с учетом увеличения</t>
  </si>
  <si>
    <t>Проверка</t>
  </si>
  <si>
    <t>Определение нормативных затрат на оказание муниципальной услуги</t>
  </si>
  <si>
    <t>1. Затраты, непосредственно связанные с оказанием муниципальной услуги. (приложение1)</t>
  </si>
  <si>
    <t>Всего по учреждению</t>
  </si>
  <si>
    <t>Всего затраты на общехозяйственные нужды</t>
  </si>
  <si>
    <t>Объем муниципальных услуг в натуральных показателях</t>
  </si>
  <si>
    <t>приложение 1</t>
  </si>
  <si>
    <t>приложение 2</t>
  </si>
  <si>
    <t>приложение 3</t>
  </si>
  <si>
    <t>приложение 4</t>
  </si>
  <si>
    <t>ед.измерения</t>
  </si>
  <si>
    <t>м3</t>
  </si>
  <si>
    <t>гКал</t>
  </si>
  <si>
    <t>кВат</t>
  </si>
  <si>
    <t>Гл.бухгалтер ____________________________________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</si>
  <si>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</si>
  <si>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2.6 Нормативные затраты на материальные запасы (приложение3)</t>
  </si>
  <si>
    <t>2.3. Затраты на приобретение услуг связи (приложение3)</t>
  </si>
  <si>
    <t>2.2 Затраты на содержание недвижимого имущества (приложение3)</t>
  </si>
  <si>
    <t>2.9. Приобретение коммунальных услуг (приложение 5)</t>
  </si>
  <si>
    <t>3 Нормативные затраты на содержание имущества  (приложение 6)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</si>
  <si>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</si>
  <si>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</si>
  <si>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тариф (руб.)</t>
  </si>
  <si>
    <t>2.5 Нормативные затраты на техническое обслуживание и текущий ремонт объектов движимого имущества (приложение 4)</t>
  </si>
  <si>
    <t>2.4.Прочие нормативные затраты на общехозяйственные нужды (приложение3)</t>
  </si>
  <si>
    <t>приложение 6</t>
  </si>
  <si>
    <t>Объем приобретаемых муниципальных услуг (выполняемых работ) в натуральных показателях</t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</si>
  <si>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</si>
  <si>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Заведующая_________________________________</t>
  </si>
  <si>
    <t>наименование</t>
  </si>
  <si>
    <t xml:space="preserve">питание детей </t>
  </si>
  <si>
    <t>Объем прочих затрат на общехозяйственные нужды</t>
  </si>
  <si>
    <t xml:space="preserve"> объем прочих затрат на общехозяйственные нужды</t>
  </si>
  <si>
    <t>хозяйственные нужды</t>
  </si>
  <si>
    <t>медосмотр</t>
  </si>
  <si>
    <t>мед. осмотр</t>
  </si>
  <si>
    <t>электрическая энергия (свободные нерегулируемые цены) сумма</t>
  </si>
  <si>
    <t>прочее</t>
  </si>
  <si>
    <t>прочие</t>
  </si>
  <si>
    <t>итого прочие</t>
  </si>
  <si>
    <t>Тех.обслуживание средств радиомодема</t>
  </si>
  <si>
    <t>тревожная кнопка</t>
  </si>
  <si>
    <t>то узлов регулирования</t>
  </si>
  <si>
    <t>то теплосчетчиков</t>
  </si>
  <si>
    <t>1-с сопровождение</t>
  </si>
  <si>
    <t>Г.М. Левченко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</si>
  <si>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</si>
  <si>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</si>
  <si>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</si>
  <si>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</si>
  <si>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</si>
  <si>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</si>
  <si>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</si>
  <si>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итого по косгу 225</t>
  </si>
  <si>
    <t>затраты на  начисления на выплаты по оплате труда  персонала, принимающего непосредственное участие в оказании муниципальной услуги</t>
  </si>
  <si>
    <t>затраты на оплату труда  персонала,  принимающего непосредственное участие в оказании муниципальной услуги</t>
  </si>
  <si>
    <t>4 квартал</t>
  </si>
  <si>
    <t>3 квартал</t>
  </si>
  <si>
    <t>2 квартал</t>
  </si>
  <si>
    <t>1 квартал</t>
  </si>
  <si>
    <t>месяц</t>
  </si>
  <si>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</si>
  <si>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</si>
  <si>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</si>
  <si>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</si>
  <si>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</si>
  <si>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</si>
  <si>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</si>
  <si>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</si>
  <si>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</si>
  <si>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</si>
  <si>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</si>
  <si>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</si>
  <si>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</si>
  <si>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</si>
  <si>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</si>
  <si>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</si>
  <si>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</si>
  <si>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</si>
  <si>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</si>
  <si>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</si>
  <si>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</si>
  <si>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</si>
  <si>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</si>
  <si>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</si>
  <si>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</si>
  <si>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 xml:space="preserve">Обеспечение образовательно-воспитательного процесса педагогическим, руководящим, административно-хозяйственным, учебно-вспомогательным и прочим персоналом.
Материально-техническое обеспечение образовательно-воспитательного процесса реализации общеразвивающих, коррекционных программ в группах разных возрастных категорий и времени пребывания детей в ДОУ.
Предоставление детям дошкольного возраста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электро- и водоснабжения, услугами водоотведения.
Организация питания детей и обеспечение материальными запасами, не относящимися к основным средствам.
</t>
  </si>
  <si>
    <t>1 воспитанник</t>
  </si>
  <si>
    <t>бюджет города Пензы</t>
  </si>
  <si>
    <t>нормативный, метод индексации, программно-целевой метод</t>
  </si>
  <si>
    <t>Управление образования города Пензы</t>
  </si>
  <si>
    <t>Население дошкольного возраста (1-7 лет)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</si>
  <si>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
Финансирование расходов, связанных с предоставлением компенсации части родительской# (компенсации) за содержание детей в муниципальных образовательных учреждениях, реализующих программу дошкольного образования, является расходным обязательством субъектов Российской Федерации.
</t>
  </si>
  <si>
    <t xml:space="preserve">1). Конституция РФ, ст.43.;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Российской Федерации от 10.07.1992 N 3266-1 "Об образовании", статья 5, пункт 3; статья 31, пункт 1, подпункты 2, 4.; статья 52.1. пункты 1, 2; статья 52.2. пункт 3 (с изм. и доп.);
4).Закон РФ от 24.07.1998 г. N 124-ФЗ "Об основных гарантиях прав ребенка в Российской Федерации", ст. 13 (с изм. и доп.);
5) Устав города Пензы (с изм. и доп.), принят решением Пензенской городской Думы от 30.06.2005 N 130-12/4: статья 5, пункт 1, подпункт 13, статья 39, пункт 1. подпункты 1.1., 1.2.а, 1.6., 1.9., 1.8., 1.20.;
6).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2.2.2., 2.2.4., 2.2.5., 2.2.6., 2.2.9.;
7). Положение о порядке комплектования муниципальных образовательных учреждениях# города Пензы, реализующих общеобразовательные программы дошкольного образования, утвержденного приказом Управления образования от 29.05.2007 года N 199/1.;
8). Постановление Правительства РФ от 20.12.2006 г. N 849 "О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образования";
9). Постановление Правительства Пензенской области от 26.02.2007 года N 125-пП "Об утверждении порядка выплаты компенсации родителям (законным представителям) за содержание детей в государственных и муниципальных дошкольных образовательных учреждениях, реализующих основную общеобразовательную программу дошкольного образования";
10). Постановление Главы администрации города Пензы от 13.02.2006 года N 113 "Об упорядочении размера платы, взимаемой за содержание детей в муниципальных дошкольных образовательных учреждениях г. Пензы" (с изм. и доп.)
11). Постановление главы администрации города Пензы от 27.10.2008 N 1805 "Об установлении размера платы, взимаемой с родителей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образования";
12). Положение о порядке взимания с родителей (законных представителей) платы за содержание детей и выплаты компенсации родителям (законным представителям) части родительской платы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образования, утвержденное приказам# Управления образования города Пензы от 04.06.2007 года N 206.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</si>
  <si>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</si>
  <si>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</si>
  <si>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</si>
  <si>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</si>
  <si>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</si>
  <si>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</si>
  <si>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</si>
  <si>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</si>
  <si>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</si>
  <si>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</si>
  <si>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</si>
  <si>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</si>
  <si>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</si>
  <si>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</si>
  <si>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</si>
  <si>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</si>
  <si>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</si>
  <si>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</si>
  <si>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 xml:space="preserve"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</t>
    </r>
    <r>
      <rPr>
        <sz val="10"/>
        <color indexed="8"/>
        <rFont val="Times New Roman"/>
        <family val="1"/>
      </rPr>
      <t>в том числе:</t>
    </r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</si>
  <si>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</si>
  <si>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</si>
  <si>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 на содержание имущества, &lt;воспитанники&gt;</t>
  </si>
  <si>
    <t>&lt;*&gt;</t>
  </si>
  <si>
    <t>по кварталам, в случае выбора квартальной детацизации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</si>
  <si>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</si>
  <si>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</si>
  <si>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</si>
  <si>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</si>
  <si>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</si>
  <si>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</si>
  <si>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</si>
  <si>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</si>
  <si>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</si>
  <si>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Норматив затрат на единицу услуги</t>
  </si>
  <si>
    <t>Сумма затрат на предоставление услуги</t>
  </si>
  <si>
    <t>Затраты на содержание имущества,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</si>
  <si>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</si>
  <si>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</si>
  <si>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</si>
  <si>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</si>
  <si>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</si>
  <si>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</si>
  <si>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</si>
  <si>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</si>
  <si>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</si>
  <si>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</si>
  <si>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</si>
  <si>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>Ведомственная целевая программа развития "Дошкольное детство (2011-2013 гг.)"</t>
  </si>
  <si>
    <t>…….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</si>
  <si>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</si>
  <si>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</si>
  <si>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</si>
  <si>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</si>
  <si>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</si>
  <si>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</si>
  <si>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</si>
  <si>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</si>
  <si>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</si>
  <si>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</si>
  <si>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</si>
  <si>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</si>
  <si>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Поддержание температуры воздуха в Учреждении</t>
  </si>
  <si>
    <t xml:space="preserve">+21 - +24 – 
в групповом помещении,                +19 - +20 – 
в спальном помещении
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</si>
  <si>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</si>
  <si>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</si>
  <si>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</si>
  <si>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</si>
  <si>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Использование в режиме дня разных форм организаций двигательной активности детей  (утренняя гимнастика, физкультурные занятия, физкультминутки, корригирующая гимнастика, дни здоровья, физкультурные досуги и развлечения, подвижные игры, элементы спортивных игр, кружки физкультурной направленности, индивидуальная работа)</t>
  </si>
  <si>
    <t>не менее 5 форм</t>
  </si>
  <si>
    <t>6.2. Годовые показатели оценки качества муниципальной услуги &lt;**&gt;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</si>
  <si>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</si>
  <si>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</si>
  <si>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</si>
  <si>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</si>
  <si>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</si>
  <si>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</si>
  <si>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</si>
  <si>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</si>
  <si>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</si>
  <si>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</si>
  <si>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</si>
  <si>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</si>
  <si>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</si>
  <si>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</si>
  <si>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</si>
  <si>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</si>
  <si>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</si>
  <si>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</si>
  <si>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</si>
  <si>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</si>
  <si>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</si>
  <si>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</si>
  <si>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</si>
  <si>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</si>
  <si>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</si>
  <si>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</si>
  <si>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</si>
  <si>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</si>
  <si>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</si>
  <si>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</si>
  <si>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</si>
  <si>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</si>
  <si>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</si>
  <si>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</si>
  <si>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(Ф.И.О.)</t>
  </si>
  <si>
    <t>Дата</t>
  </si>
  <si>
    <t>Подпись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</si>
  <si>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</si>
  <si>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</si>
  <si>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</si>
  <si>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</si>
  <si>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</si>
  <si>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</si>
  <si>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</si>
  <si>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</si>
  <si>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</si>
  <si>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</si>
  <si>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</si>
  <si>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</si>
  <si>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</si>
  <si>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</si>
  <si>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</si>
  <si>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</si>
  <si>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</si>
  <si>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</si>
  <si>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</si>
  <si>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</si>
  <si>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</si>
  <si>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</si>
  <si>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>Затраты, на общехозяйственные нужды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</si>
  <si>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</si>
  <si>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</si>
  <si>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</si>
  <si>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Долгосрочная целевая программа Энергосбережения и повышения энергоэффективности в городе Пензе на период 2010-2020 годов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</si>
  <si>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</si>
  <si>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</si>
  <si>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</si>
  <si>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</si>
  <si>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</si>
  <si>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</si>
  <si>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</si>
  <si>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</si>
  <si>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</si>
  <si>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</si>
  <si>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</si>
  <si>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</si>
  <si>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+21-+24 в групповом помещении, +19-+20 в спальном помещении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</si>
  <si>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</si>
  <si>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</si>
  <si>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</si>
  <si>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</si>
  <si>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</si>
  <si>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</si>
  <si>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</si>
  <si>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</si>
  <si>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</si>
  <si>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*</t>
  </si>
  <si>
    <t>кол-во педагогических ставок</t>
  </si>
  <si>
    <t>Оклад с учетом k специфики</t>
  </si>
  <si>
    <t>k стимулирования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</si>
  <si>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</si>
  <si>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</si>
  <si>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</si>
  <si>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</si>
  <si>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таблица для зарплаты</t>
  </si>
  <si>
    <t>ФЗП в мес</t>
  </si>
  <si>
    <t>без стимуляции</t>
  </si>
  <si>
    <t>стимуляция</t>
  </si>
  <si>
    <t xml:space="preserve">вопитатели </t>
  </si>
  <si>
    <t>ставки</t>
  </si>
  <si>
    <t>остаток на счете на начало года</t>
  </si>
  <si>
    <t>затраты на  начисления на выплаты по оплате труда  персонала,не  принимающего непосредственное участие в оказании муниципальной услуги</t>
  </si>
  <si>
    <r>
      <t>на период с</t>
    </r>
    <r>
      <rPr>
        <u val="single"/>
        <sz val="12"/>
        <rFont val="Times New Roman"/>
        <family val="1"/>
      </rPr>
      <t xml:space="preserve"> 01.01.2013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31.12.2013 г.</t>
    </r>
  </si>
  <si>
    <t>2013год</t>
  </si>
  <si>
    <t>заполнить только голубые ячейки</t>
  </si>
  <si>
    <t>Муниципальное бюджетное дошкольное учереждение                                                                                     детский сад комбинированного вида №   г. Пензы</t>
  </si>
  <si>
    <t>Огнезащитная обработка</t>
  </si>
  <si>
    <t>Злектронная отчетность</t>
  </si>
  <si>
    <t>Устранение неисправностей всистеме отопления</t>
  </si>
  <si>
    <t>Заведующая МБДОУ № 106</t>
  </si>
  <si>
    <t xml:space="preserve">муниципальное бюджетное дошкольное образовательное учреждение </t>
  </si>
  <si>
    <t>детский сад компенсирующего вида № 106 г.Пензы</t>
  </si>
  <si>
    <t>кассовые расходы по  __МБДОУ детский сад №  106 по месяцам.</t>
  </si>
  <si>
    <r>
      <t>за 2</t>
    </r>
    <r>
      <rPr>
        <u val="single"/>
        <sz val="12"/>
        <rFont val="Times New Roman"/>
        <family val="1"/>
      </rPr>
      <t xml:space="preserve"> квартал 2013 год</t>
    </r>
  </si>
  <si>
    <t>Поверка монометров</t>
  </si>
  <si>
    <r>
      <t>за 1</t>
    </r>
    <r>
      <rPr>
        <u val="single"/>
        <sz val="12"/>
        <rFont val="Times New Roman"/>
        <family val="1"/>
      </rPr>
      <t xml:space="preserve"> квартал 2013 год</t>
    </r>
  </si>
  <si>
    <t>Поверка весов</t>
  </si>
  <si>
    <t>Замер сопротивления</t>
  </si>
  <si>
    <t>Обследование тех.состояния вентиляционых каналов</t>
  </si>
  <si>
    <t>Перезарядка огнетушителей</t>
  </si>
  <si>
    <t>Замена счетчика хол.воды</t>
  </si>
  <si>
    <t>Заправка картриджей</t>
  </si>
  <si>
    <r>
      <t>за 3</t>
    </r>
    <r>
      <rPr>
        <u val="single"/>
        <sz val="12"/>
        <rFont val="Times New Roman"/>
        <family val="1"/>
      </rPr>
      <t xml:space="preserve"> квартал 2013 год</t>
    </r>
  </si>
  <si>
    <t>п/п находятся в казначействе</t>
  </si>
  <si>
    <t>планируется выполнить в полном объеме муниципальное задание за 6 месяцев 2013 года в течение 3 квартала 2013 года</t>
  </si>
  <si>
    <t>удовлнтворительное</t>
  </si>
  <si>
    <t>планируется выполнить в полном объеме муниципальное задание за 9 месяцев 2013 года в течение 4 квартала 2013 года</t>
  </si>
  <si>
    <t>удовлетворительное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</si>
  <si>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01.01.2014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31.12.2014</t>
    </r>
    <r>
      <rPr>
        <sz val="11"/>
        <color indexed="8"/>
        <rFont val="Times New Roman"/>
        <family val="1"/>
      </rPr>
      <t>.</t>
    </r>
  </si>
  <si>
    <t>Затраты, непосредственно связанные с оказанием муниципальной услуги, за счет бюджета города &lt;рубли&gt;</t>
  </si>
  <si>
    <t>Затраты, на общехозяйственные нужды,за счет бюджета города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</si>
  <si>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</si>
  <si>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 за счет бюджета Пензенской области &lt;рубли&gt;</t>
  </si>
  <si>
    <t>бюджет Пензенской области</t>
  </si>
  <si>
    <t>бюджет города</t>
  </si>
  <si>
    <t>хоз. Расходы</t>
  </si>
  <si>
    <t>прочие расходы</t>
  </si>
  <si>
    <t>учебные расходы</t>
  </si>
  <si>
    <t>перевыпуск сетификата ЭЦП</t>
  </si>
  <si>
    <t>поверка и ремонт теплосчетчиков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</si>
  <si>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</si>
  <si>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</si>
  <si>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Ведомственная целевая программа "Совершенствование организации питания детей в общеобразовательных учреждениях(в 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на2014-2016 годы"</t>
  </si>
  <si>
    <t>Укрепление материально-технической базы и проведение капитального ремонта зданий и сооружений учреждения, в отношении которых функции и полномочия учреждение осуществляет Управление образования г.Пензы и здания Управлением образования г.Пензы</t>
  </si>
  <si>
    <t>доп. проф. образование педагогических работников</t>
  </si>
  <si>
    <t xml:space="preserve"> затраты на доп. проф. образование педагогических работников</t>
  </si>
  <si>
    <t>Муниципальное дошкольное образовательное учреждение детский сад  №  109         г. Пензы</t>
  </si>
  <si>
    <t>И.о.заведующей МБДОУ № 109 г.Пензы</t>
  </si>
  <si>
    <t>дезинсекция</t>
  </si>
  <si>
    <t>уборка контейнерной площ.</t>
  </si>
  <si>
    <t>тех.обслуживание АПС</t>
  </si>
  <si>
    <t>сопровождение 1С</t>
  </si>
  <si>
    <t>уборка контейнерной площадки</t>
  </si>
  <si>
    <t>проверка дымоходов</t>
  </si>
  <si>
    <t>(Ю.А.Голодяев)</t>
  </si>
  <si>
    <t>(Л.В.Шутова)</t>
  </si>
  <si>
    <t>Определение нормативных затрат по  МБДОУ детский сад №  109 по месяцам.</t>
  </si>
  <si>
    <t>Шутова Л.В</t>
  </si>
  <si>
    <t>Бутаева Л.Н</t>
  </si>
  <si>
    <t>вода</t>
  </si>
  <si>
    <t>канал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</si>
</sst>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0.0"/>
    <numFmt numFmtId="176" formatCode="0.00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2"/>
      <name val="Verdana"/>
      <family val="2"/>
    </font>
    <font>
      <u val="single"/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8"/>
      <color theme="2" tint="-0.24997000396251678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Dashed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0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5" fillId="36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5" fillId="35" borderId="19" xfId="0" applyFont="1" applyFill="1" applyBorder="1" applyAlignment="1">
      <alignment horizontal="center" vertical="top" wrapText="1"/>
    </xf>
    <xf numFmtId="4" fontId="5" fillId="35" borderId="20" xfId="0" applyNumberFormat="1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35" borderId="18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vertical="top" wrapText="1"/>
    </xf>
    <xf numFmtId="0" fontId="5" fillId="37" borderId="19" xfId="0" applyFont="1" applyFill="1" applyBorder="1" applyAlignment="1">
      <alignment vertical="top" wrapText="1"/>
    </xf>
    <xf numFmtId="0" fontId="5" fillId="37" borderId="20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vertical="top" wrapText="1"/>
    </xf>
    <xf numFmtId="4" fontId="5" fillId="36" borderId="15" xfId="0" applyNumberFormat="1" applyFont="1" applyFill="1" applyBorder="1" applyAlignment="1">
      <alignment horizontal="center" vertical="top" wrapText="1"/>
    </xf>
    <xf numFmtId="4" fontId="5" fillId="36" borderId="17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vertical="top" wrapText="1"/>
    </xf>
    <xf numFmtId="4" fontId="5" fillId="35" borderId="11" xfId="0" applyNumberFormat="1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6" borderId="19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4" fontId="5" fillId="36" borderId="2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vertical="top" wrapText="1"/>
    </xf>
    <xf numFmtId="4" fontId="5" fillId="34" borderId="20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center" vertical="top" wrapText="1"/>
    </xf>
    <xf numFmtId="4" fontId="5" fillId="33" borderId="25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4" fontId="11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8" borderId="18" xfId="0" applyFont="1" applyFill="1" applyBorder="1" applyAlignment="1">
      <alignment vertical="top" wrapText="1"/>
    </xf>
    <xf numFmtId="0" fontId="5" fillId="38" borderId="19" xfId="0" applyFont="1" applyFill="1" applyBorder="1" applyAlignment="1">
      <alignment horizontal="center" vertical="top" wrapText="1"/>
    </xf>
    <xf numFmtId="10" fontId="5" fillId="38" borderId="19" xfId="0" applyNumberFormat="1" applyFont="1" applyFill="1" applyBorder="1" applyAlignment="1">
      <alignment horizontal="center" vertical="top" wrapText="1"/>
    </xf>
    <xf numFmtId="2" fontId="5" fillId="38" borderId="19" xfId="0" applyNumberFormat="1" applyFont="1" applyFill="1" applyBorder="1" applyAlignment="1">
      <alignment horizontal="center" vertical="top" wrapText="1"/>
    </xf>
    <xf numFmtId="4" fontId="5" fillId="38" borderId="2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2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5" fillId="0" borderId="30" xfId="0" applyFont="1" applyBorder="1" applyAlignment="1">
      <alignment wrapText="1"/>
    </xf>
    <xf numFmtId="4" fontId="0" fillId="0" borderId="10" xfId="0" applyNumberFormat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3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7" fillId="0" borderId="1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79" fillId="0" borderId="0" xfId="53" applyFont="1">
      <alignment/>
      <protection/>
    </xf>
    <xf numFmtId="0" fontId="80" fillId="0" borderId="0" xfId="53" applyFont="1" applyAlignment="1">
      <alignment horizontal="right"/>
      <protection/>
    </xf>
    <xf numFmtId="0" fontId="79" fillId="0" borderId="0" xfId="53" applyFont="1" applyBorder="1">
      <alignment/>
      <protection/>
    </xf>
    <xf numFmtId="0" fontId="81" fillId="0" borderId="12" xfId="53" applyFont="1" applyBorder="1" applyAlignment="1">
      <alignment horizontal="center" vertical="center" wrapText="1"/>
      <protection/>
    </xf>
    <xf numFmtId="0" fontId="82" fillId="0" borderId="0" xfId="53" applyFont="1" applyAlignment="1">
      <alignment vertical="top" wrapText="1"/>
      <protection/>
    </xf>
    <xf numFmtId="0" fontId="81" fillId="0" borderId="12" xfId="53" applyFont="1" applyBorder="1" applyAlignment="1">
      <alignment vertical="center" wrapText="1"/>
      <protection/>
    </xf>
    <xf numFmtId="0" fontId="81" fillId="0" borderId="0" xfId="53" applyFont="1" applyBorder="1" applyAlignment="1">
      <alignment vertical="center" wrapText="1"/>
      <protection/>
    </xf>
    <xf numFmtId="0" fontId="83" fillId="0" borderId="12" xfId="53" applyFont="1" applyBorder="1" applyAlignment="1">
      <alignment vertical="top" wrapText="1"/>
      <protection/>
    </xf>
    <xf numFmtId="0" fontId="83" fillId="0" borderId="32" xfId="53" applyFont="1" applyBorder="1" applyAlignment="1">
      <alignment vertical="top" wrapText="1"/>
      <protection/>
    </xf>
    <xf numFmtId="0" fontId="83" fillId="0" borderId="12" xfId="53" applyFont="1" applyBorder="1" applyAlignment="1">
      <alignment wrapText="1"/>
      <protection/>
    </xf>
    <xf numFmtId="0" fontId="83" fillId="0" borderId="0" xfId="53" applyFont="1" applyAlignment="1">
      <alignment wrapText="1"/>
      <protection/>
    </xf>
    <xf numFmtId="0" fontId="83" fillId="0" borderId="33" xfId="53" applyFont="1" applyBorder="1" applyAlignment="1">
      <alignment horizontal="center" wrapText="1"/>
      <protection/>
    </xf>
    <xf numFmtId="0" fontId="83" fillId="0" borderId="34" xfId="53" applyFont="1" applyBorder="1" applyAlignment="1">
      <alignment horizontal="center" wrapText="1"/>
      <protection/>
    </xf>
    <xf numFmtId="0" fontId="83" fillId="0" borderId="0" xfId="53" applyFont="1" applyBorder="1" applyAlignment="1">
      <alignment horizontal="center" wrapText="1"/>
      <protection/>
    </xf>
    <xf numFmtId="0" fontId="83" fillId="0" borderId="30" xfId="53" applyFont="1" applyBorder="1" applyAlignment="1">
      <alignment vertical="top" wrapText="1"/>
      <protection/>
    </xf>
    <xf numFmtId="0" fontId="83" fillId="0" borderId="0" xfId="53" applyFont="1" applyBorder="1" applyAlignment="1">
      <alignment vertical="top" wrapText="1"/>
      <protection/>
    </xf>
    <xf numFmtId="0" fontId="83" fillId="0" borderId="30" xfId="53" applyFont="1" applyBorder="1" applyAlignment="1">
      <alignment wrapText="1"/>
      <protection/>
    </xf>
    <xf numFmtId="0" fontId="83" fillId="0" borderId="34" xfId="53" applyFont="1" applyBorder="1" applyAlignment="1">
      <alignment vertical="top" wrapText="1"/>
      <protection/>
    </xf>
    <xf numFmtId="0" fontId="83" fillId="0" borderId="34" xfId="53" applyFont="1" applyBorder="1" applyAlignment="1">
      <alignment wrapText="1"/>
      <protection/>
    </xf>
    <xf numFmtId="0" fontId="83" fillId="0" borderId="35" xfId="53" applyFont="1" applyBorder="1" applyAlignment="1">
      <alignment vertical="top" wrapText="1"/>
      <protection/>
    </xf>
    <xf numFmtId="0" fontId="83" fillId="0" borderId="36" xfId="53" applyFont="1" applyBorder="1" applyAlignment="1">
      <alignment vertical="top" wrapText="1"/>
      <protection/>
    </xf>
    <xf numFmtId="0" fontId="83" fillId="0" borderId="35" xfId="53" applyFont="1" applyBorder="1" applyAlignment="1">
      <alignment horizontal="center" vertical="top" wrapText="1"/>
      <protection/>
    </xf>
    <xf numFmtId="0" fontId="83" fillId="0" borderId="36" xfId="53" applyFont="1" applyBorder="1" applyAlignment="1">
      <alignment horizontal="center" vertical="top" wrapText="1"/>
      <protection/>
    </xf>
    <xf numFmtId="0" fontId="83" fillId="0" borderId="35" xfId="53" applyFont="1" applyBorder="1" applyAlignment="1">
      <alignment horizontal="center" wrapText="1"/>
      <protection/>
    </xf>
    <xf numFmtId="0" fontId="83" fillId="0" borderId="37" xfId="53" applyFont="1" applyBorder="1" applyAlignment="1">
      <alignment horizontal="center" wrapText="1"/>
      <protection/>
    </xf>
    <xf numFmtId="0" fontId="83" fillId="0" borderId="36" xfId="53" applyFont="1" applyBorder="1" applyAlignment="1">
      <alignment horizontal="center" wrapText="1"/>
      <protection/>
    </xf>
    <xf numFmtId="0" fontId="83" fillId="0" borderId="37" xfId="53" applyFont="1" applyBorder="1" applyAlignment="1">
      <alignment vertical="top" wrapText="1"/>
      <protection/>
    </xf>
    <xf numFmtId="0" fontId="83" fillId="0" borderId="36" xfId="53" applyFont="1" applyBorder="1" applyAlignment="1">
      <alignment wrapText="1"/>
      <protection/>
    </xf>
    <xf numFmtId="0" fontId="81" fillId="0" borderId="10" xfId="53" applyFont="1" applyBorder="1" applyAlignment="1">
      <alignment horizontal="center" vertical="center"/>
      <protection/>
    </xf>
    <xf numFmtId="0" fontId="81" fillId="0" borderId="10" xfId="53" applyFont="1" applyBorder="1">
      <alignment/>
      <protection/>
    </xf>
    <xf numFmtId="0" fontId="81" fillId="40" borderId="10" xfId="53" applyFont="1" applyFill="1" applyBorder="1" applyAlignment="1">
      <alignment/>
      <protection/>
    </xf>
    <xf numFmtId="0" fontId="81" fillId="0" borderId="10" xfId="53" applyFont="1" applyBorder="1" applyAlignment="1">
      <alignment/>
      <protection/>
    </xf>
    <xf numFmtId="0" fontId="79" fillId="0" borderId="38" xfId="53" applyFont="1" applyBorder="1" applyAlignment="1">
      <alignment horizontal="right"/>
      <protection/>
    </xf>
    <xf numFmtId="0" fontId="79" fillId="0" borderId="38" xfId="53" applyFont="1" applyBorder="1">
      <alignment/>
      <protection/>
    </xf>
    <xf numFmtId="2" fontId="84" fillId="0" borderId="10" xfId="53" applyNumberFormat="1" applyFont="1" applyBorder="1">
      <alignment/>
      <protection/>
    </xf>
    <xf numFmtId="0" fontId="81" fillId="0" borderId="22" xfId="53" applyFont="1" applyBorder="1" applyAlignment="1">
      <alignment horizontal="left" vertical="top" wrapText="1"/>
      <protection/>
    </xf>
    <xf numFmtId="2" fontId="80" fillId="0" borderId="10" xfId="53" applyNumberFormat="1" applyFont="1" applyBorder="1" applyAlignment="1">
      <alignment textRotation="90"/>
      <protection/>
    </xf>
    <xf numFmtId="2" fontId="80" fillId="40" borderId="10" xfId="53" applyNumberFormat="1" applyFont="1" applyFill="1" applyBorder="1" applyAlignment="1">
      <alignment textRotation="90"/>
      <protection/>
    </xf>
    <xf numFmtId="0" fontId="80" fillId="40" borderId="10" xfId="53" applyNumberFormat="1" applyFont="1" applyFill="1" applyBorder="1" applyAlignment="1">
      <alignment textRotation="90"/>
      <protection/>
    </xf>
    <xf numFmtId="0" fontId="81" fillId="0" borderId="10" xfId="53" applyFont="1" applyBorder="1" applyAlignment="1">
      <alignment horizontal="left" vertical="top" wrapText="1"/>
      <protection/>
    </xf>
    <xf numFmtId="0" fontId="80" fillId="0" borderId="10" xfId="53" applyFont="1" applyBorder="1" applyAlignment="1">
      <alignment textRotation="90"/>
      <protection/>
    </xf>
    <xf numFmtId="0" fontId="80" fillId="40" borderId="10" xfId="53" applyFont="1" applyFill="1" applyBorder="1" applyAlignment="1">
      <alignment textRotation="90"/>
      <protection/>
    </xf>
    <xf numFmtId="0" fontId="81" fillId="0" borderId="10" xfId="53" applyFont="1" applyBorder="1" applyAlignment="1">
      <alignment textRotation="90"/>
      <protection/>
    </xf>
    <xf numFmtId="0" fontId="81" fillId="0" borderId="10" xfId="53" applyFont="1" applyBorder="1" applyAlignment="1">
      <alignment vertical="center" wrapText="1"/>
      <protection/>
    </xf>
    <xf numFmtId="0" fontId="81" fillId="0" borderId="10" xfId="53" applyFont="1" applyBorder="1" applyAlignment="1">
      <alignment horizontal="center" vertical="center" wrapText="1"/>
      <protection/>
    </xf>
    <xf numFmtId="0" fontId="81" fillId="0" borderId="10" xfId="53" applyFont="1" applyBorder="1" applyAlignment="1">
      <alignment horizontal="right" wrapText="1"/>
      <protection/>
    </xf>
    <xf numFmtId="0" fontId="81" fillId="0" borderId="10" xfId="53" applyFont="1" applyBorder="1" applyAlignment="1">
      <alignment wrapText="1"/>
      <protection/>
    </xf>
    <xf numFmtId="0" fontId="79" fillId="0" borderId="10" xfId="53" applyFont="1" applyBorder="1" applyAlignment="1">
      <alignment wrapText="1"/>
      <protection/>
    </xf>
    <xf numFmtId="0" fontId="79" fillId="0" borderId="10" xfId="53" applyFont="1" applyBorder="1">
      <alignment/>
      <protection/>
    </xf>
    <xf numFmtId="0" fontId="79" fillId="0" borderId="0" xfId="53" applyFont="1" applyAlignment="1">
      <alignment/>
      <protection/>
    </xf>
    <xf numFmtId="0" fontId="79" fillId="0" borderId="38" xfId="53" applyFont="1" applyBorder="1" applyAlignment="1">
      <alignment horizontal="right" vertical="top"/>
      <protection/>
    </xf>
    <xf numFmtId="0" fontId="79" fillId="0" borderId="38" xfId="53" applyFont="1" applyBorder="1" applyAlignment="1">
      <alignment vertical="top"/>
      <protection/>
    </xf>
    <xf numFmtId="0" fontId="79" fillId="0" borderId="0" xfId="53" applyFont="1" applyBorder="1" applyAlignment="1">
      <alignment vertical="top" wrapText="1"/>
      <protection/>
    </xf>
    <xf numFmtId="0" fontId="79" fillId="0" borderId="0" xfId="53" applyFont="1" applyBorder="1" applyAlignment="1">
      <alignment/>
      <protection/>
    </xf>
    <xf numFmtId="0" fontId="80" fillId="0" borderId="0" xfId="53" applyFont="1">
      <alignment/>
      <protection/>
    </xf>
    <xf numFmtId="0" fontId="80" fillId="0" borderId="33" xfId="53" applyFont="1" applyBorder="1" applyAlignment="1">
      <alignment horizontal="left"/>
      <protection/>
    </xf>
    <xf numFmtId="0" fontId="80" fillId="0" borderId="0" xfId="53" applyFont="1" applyBorder="1" applyAlignment="1">
      <alignment horizontal="left"/>
      <protection/>
    </xf>
    <xf numFmtId="0" fontId="80" fillId="0" borderId="34" xfId="53" applyFont="1" applyBorder="1" applyAlignment="1">
      <alignment horizontal="left"/>
      <protection/>
    </xf>
    <xf numFmtId="0" fontId="80" fillId="0" borderId="33" xfId="53" applyFont="1" applyBorder="1">
      <alignment/>
      <protection/>
    </xf>
    <xf numFmtId="0" fontId="80" fillId="0" borderId="0" xfId="53" applyFont="1" applyBorder="1">
      <alignment/>
      <protection/>
    </xf>
    <xf numFmtId="0" fontId="80" fillId="0" borderId="34" xfId="53" applyFont="1" applyBorder="1">
      <alignment/>
      <protection/>
    </xf>
    <xf numFmtId="0" fontId="79" fillId="0" borderId="35" xfId="53" applyFont="1" applyBorder="1">
      <alignment/>
      <protection/>
    </xf>
    <xf numFmtId="0" fontId="79" fillId="0" borderId="37" xfId="53" applyFont="1" applyBorder="1">
      <alignment/>
      <protection/>
    </xf>
    <xf numFmtId="0" fontId="79" fillId="0" borderId="36" xfId="53" applyFont="1" applyBorder="1">
      <alignment/>
      <protection/>
    </xf>
    <xf numFmtId="0" fontId="79" fillId="0" borderId="0" xfId="53" applyFont="1" applyAlignment="1">
      <alignment horizontal="right"/>
      <protection/>
    </xf>
    <xf numFmtId="0" fontId="85" fillId="0" borderId="0" xfId="53" applyFont="1" applyFill="1">
      <alignment/>
      <protection/>
    </xf>
    <xf numFmtId="0" fontId="82" fillId="0" borderId="0" xfId="53" applyFont="1" applyFill="1" applyAlignment="1">
      <alignment horizontal="right"/>
      <protection/>
    </xf>
    <xf numFmtId="0" fontId="85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center" wrapText="1"/>
      <protection/>
    </xf>
    <xf numFmtId="0" fontId="27" fillId="0" borderId="0" xfId="53" applyFont="1" applyFill="1" applyAlignment="1">
      <alignment horizontal="left"/>
      <protection/>
    </xf>
    <xf numFmtId="0" fontId="27" fillId="0" borderId="0" xfId="53" applyFont="1" applyFill="1" applyAlignment="1">
      <alignment horizontal="justify"/>
      <protection/>
    </xf>
    <xf numFmtId="0" fontId="5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justify"/>
      <protection/>
    </xf>
    <xf numFmtId="0" fontId="27" fillId="0" borderId="0" xfId="53" applyFont="1" applyFill="1">
      <alignment/>
      <protection/>
    </xf>
    <xf numFmtId="0" fontId="27" fillId="0" borderId="0" xfId="53" applyFont="1" applyFill="1" applyAlignment="1">
      <alignment horizontal="right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/>
      <protection/>
    </xf>
    <xf numFmtId="0" fontId="85" fillId="0" borderId="10" xfId="53" applyFont="1" applyFill="1" applyBorder="1" applyAlignment="1">
      <alignment horizontal="center" vertical="center"/>
      <protection/>
    </xf>
    <xf numFmtId="174" fontId="5" fillId="41" borderId="10" xfId="53" applyNumberFormat="1" applyFont="1" applyFill="1" applyBorder="1" applyAlignment="1">
      <alignment horizontal="right"/>
      <protection/>
    </xf>
    <xf numFmtId="0" fontId="85" fillId="42" borderId="0" xfId="53" applyFont="1" applyFill="1" applyAlignment="1">
      <alignment horizontal="right"/>
      <protection/>
    </xf>
    <xf numFmtId="0" fontId="85" fillId="42" borderId="0" xfId="53" applyFont="1" applyFill="1">
      <alignment/>
      <protection/>
    </xf>
    <xf numFmtId="174" fontId="5" fillId="0" borderId="22" xfId="53" applyNumberFormat="1" applyFont="1" applyFill="1" applyBorder="1" applyAlignment="1">
      <alignment/>
      <protection/>
    </xf>
    <xf numFmtId="0" fontId="80" fillId="40" borderId="10" xfId="53" applyNumberFormat="1" applyFont="1" applyFill="1" applyBorder="1" applyAlignment="1">
      <alignment horizontal="right"/>
      <protection/>
    </xf>
    <xf numFmtId="0" fontId="5" fillId="0" borderId="10" xfId="53" applyNumberFormat="1" applyFont="1" applyFill="1" applyBorder="1" applyAlignment="1">
      <alignment/>
      <protection/>
    </xf>
    <xf numFmtId="169" fontId="85" fillId="0" borderId="0" xfId="53" applyNumberFormat="1" applyFont="1" applyFill="1">
      <alignment/>
      <protection/>
    </xf>
    <xf numFmtId="169" fontId="85" fillId="42" borderId="0" xfId="53" applyNumberFormat="1" applyFont="1" applyFill="1">
      <alignment/>
      <protection/>
    </xf>
    <xf numFmtId="174" fontId="85" fillId="0" borderId="10" xfId="53" applyNumberFormat="1" applyFont="1" applyFill="1" applyBorder="1" applyAlignment="1">
      <alignment/>
      <protection/>
    </xf>
    <xf numFmtId="0" fontId="85" fillId="41" borderId="0" xfId="53" applyFont="1" applyFill="1" applyAlignment="1">
      <alignment horizontal="right"/>
      <protection/>
    </xf>
    <xf numFmtId="0" fontId="85" fillId="41" borderId="0" xfId="53" applyFont="1" applyFill="1">
      <alignment/>
      <protection/>
    </xf>
    <xf numFmtId="169" fontId="85" fillId="41" borderId="0" xfId="53" applyNumberFormat="1" applyFont="1" applyFill="1">
      <alignment/>
      <protection/>
    </xf>
    <xf numFmtId="169" fontId="27" fillId="0" borderId="0" xfId="53" applyNumberFormat="1" applyFont="1" applyFill="1">
      <alignment/>
      <protection/>
    </xf>
    <xf numFmtId="169" fontId="25" fillId="0" borderId="0" xfId="53" applyNumberFormat="1" applyFont="1" applyFill="1">
      <alignment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top" wrapText="1"/>
      <protection/>
    </xf>
    <xf numFmtId="169" fontId="77" fillId="0" borderId="0" xfId="53" applyNumberFormat="1" applyFont="1" applyFill="1">
      <alignment/>
      <protection/>
    </xf>
    <xf numFmtId="174" fontId="85" fillId="0" borderId="0" xfId="53" applyNumberFormat="1" applyFont="1" applyFill="1">
      <alignment/>
      <protection/>
    </xf>
    <xf numFmtId="0" fontId="86" fillId="0" borderId="0" xfId="53" applyFont="1" applyFill="1">
      <alignment/>
      <protection/>
    </xf>
    <xf numFmtId="0" fontId="86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85" fillId="0" borderId="0" xfId="53" applyFont="1" applyFill="1" applyBorder="1" applyAlignment="1">
      <alignment horizontal="center" vertical="center"/>
      <protection/>
    </xf>
    <xf numFmtId="0" fontId="85" fillId="0" borderId="0" xfId="53" applyNumberFormat="1" applyFont="1" applyFill="1" applyBorder="1" applyAlignment="1">
      <alignment wrapText="1"/>
      <protection/>
    </xf>
    <xf numFmtId="0" fontId="85" fillId="0" borderId="0" xfId="53" applyFont="1" applyFill="1" applyBorder="1">
      <alignment/>
      <protection/>
    </xf>
    <xf numFmtId="0" fontId="79" fillId="0" borderId="0" xfId="53" applyFont="1" applyFill="1">
      <alignment/>
      <protection/>
    </xf>
    <xf numFmtId="0" fontId="79" fillId="0" borderId="38" xfId="53" applyFont="1" applyFill="1" applyBorder="1" applyAlignment="1">
      <alignment horizontal="right"/>
      <protection/>
    </xf>
    <xf numFmtId="0" fontId="79" fillId="0" borderId="38" xfId="53" applyFont="1" applyFill="1" applyBorder="1">
      <alignment/>
      <protection/>
    </xf>
    <xf numFmtId="0" fontId="85" fillId="0" borderId="37" xfId="53" applyFont="1" applyFill="1" applyBorder="1">
      <alignment/>
      <protection/>
    </xf>
    <xf numFmtId="0" fontId="85" fillId="0" borderId="41" xfId="53" applyFont="1" applyFill="1" applyBorder="1">
      <alignment/>
      <protection/>
    </xf>
    <xf numFmtId="0" fontId="85" fillId="0" borderId="37" xfId="53" applyFont="1" applyFill="1" applyBorder="1" applyAlignment="1">
      <alignment/>
      <protection/>
    </xf>
    <xf numFmtId="0" fontId="32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87" fillId="0" borderId="0" xfId="53" applyFont="1" applyFill="1">
      <alignment/>
      <protection/>
    </xf>
    <xf numFmtId="0" fontId="77" fillId="0" borderId="0" xfId="53" applyFont="1" applyFill="1">
      <alignment/>
      <protection/>
    </xf>
    <xf numFmtId="174" fontId="31" fillId="41" borderId="22" xfId="53" applyNumberFormat="1" applyFont="1" applyFill="1" applyBorder="1" applyAlignment="1">
      <alignment horizontal="right"/>
      <protection/>
    </xf>
    <xf numFmtId="174" fontId="5" fillId="0" borderId="39" xfId="53" applyNumberFormat="1" applyFont="1" applyFill="1" applyBorder="1" applyAlignment="1">
      <alignment horizontal="center" vertical="center" wrapText="1"/>
      <protection/>
    </xf>
    <xf numFmtId="0" fontId="32" fillId="0" borderId="37" xfId="53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0" fillId="0" borderId="19" xfId="0" applyFill="1" applyBorder="1" applyAlignment="1">
      <alignment/>
    </xf>
    <xf numFmtId="0" fontId="5" fillId="0" borderId="21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29" xfId="0" applyFont="1" applyBorder="1" applyAlignment="1">
      <alignment wrapText="1"/>
    </xf>
    <xf numFmtId="2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0" fontId="5" fillId="0" borderId="44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46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48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49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53" applyFont="1" applyFill="1" applyBorder="1" applyAlignment="1">
      <alignment vertical="top" wrapText="1"/>
      <protection/>
    </xf>
    <xf numFmtId="0" fontId="88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79" fillId="0" borderId="10" xfId="53" applyFont="1" applyFill="1" applyBorder="1">
      <alignment/>
      <protection/>
    </xf>
    <xf numFmtId="0" fontId="79" fillId="0" borderId="0" xfId="53" applyFont="1" applyFill="1" applyBorder="1" applyAlignment="1">
      <alignment horizontal="center"/>
      <protection/>
    </xf>
    <xf numFmtId="0" fontId="79" fillId="0" borderId="10" xfId="53" applyFont="1" applyFill="1" applyBorder="1" applyAlignment="1">
      <alignment horizontal="center"/>
      <protection/>
    </xf>
    <xf numFmtId="4" fontId="79" fillId="0" borderId="0" xfId="53" applyNumberFormat="1" applyFont="1" applyFill="1">
      <alignment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>
      <alignment/>
      <protection/>
    </xf>
    <xf numFmtId="4" fontId="27" fillId="0" borderId="0" xfId="53" applyNumberFormat="1" applyFont="1" applyFill="1">
      <alignment/>
      <protection/>
    </xf>
    <xf numFmtId="0" fontId="79" fillId="0" borderId="10" xfId="53" applyFont="1" applyFill="1" applyBorder="1" applyAlignment="1">
      <alignment horizontal="center" vertical="center"/>
      <protection/>
    </xf>
    <xf numFmtId="0" fontId="86" fillId="0" borderId="10" xfId="53" applyFont="1" applyFill="1" applyBorder="1" applyAlignment="1">
      <alignment horizontal="center" vertical="center"/>
      <protection/>
    </xf>
    <xf numFmtId="4" fontId="86" fillId="0" borderId="0" xfId="53" applyNumberFormat="1" applyFont="1" applyFill="1">
      <alignment/>
      <protection/>
    </xf>
    <xf numFmtId="4" fontId="79" fillId="0" borderId="0" xfId="53" applyNumberFormat="1" applyFont="1" applyFill="1" applyAlignment="1">
      <alignment horizontal="center"/>
      <protection/>
    </xf>
    <xf numFmtId="0" fontId="89" fillId="0" borderId="10" xfId="53" applyFont="1" applyFill="1" applyBorder="1">
      <alignment/>
      <protection/>
    </xf>
    <xf numFmtId="4" fontId="89" fillId="0" borderId="0" xfId="53" applyNumberFormat="1" applyFont="1" applyFill="1">
      <alignment/>
      <protection/>
    </xf>
    <xf numFmtId="0" fontId="89" fillId="0" borderId="0" xfId="53" applyFont="1" applyFill="1">
      <alignment/>
      <protection/>
    </xf>
    <xf numFmtId="0" fontId="90" fillId="0" borderId="10" xfId="53" applyFont="1" applyFill="1" applyBorder="1">
      <alignment/>
      <protection/>
    </xf>
    <xf numFmtId="0" fontId="91" fillId="0" borderId="10" xfId="53" applyFont="1" applyFill="1" applyBorder="1">
      <alignment/>
      <protection/>
    </xf>
    <xf numFmtId="4" fontId="91" fillId="0" borderId="0" xfId="53" applyNumberFormat="1" applyFont="1" applyFill="1">
      <alignment/>
      <protection/>
    </xf>
    <xf numFmtId="0" fontId="91" fillId="0" borderId="0" xfId="53" applyFont="1" applyFill="1">
      <alignment/>
      <protection/>
    </xf>
    <xf numFmtId="0" fontId="79" fillId="0" borderId="0" xfId="53" applyFont="1" applyFill="1" applyAlignment="1">
      <alignment/>
      <protection/>
    </xf>
    <xf numFmtId="4" fontId="79" fillId="43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79" fillId="4" borderId="10" xfId="53" applyNumberFormat="1" applyFont="1" applyFill="1" applyBorder="1">
      <alignment/>
      <protection/>
    </xf>
    <xf numFmtId="4" fontId="27" fillId="4" borderId="10" xfId="53" applyNumberFormat="1" applyFont="1" applyFill="1" applyBorder="1">
      <alignment/>
      <protection/>
    </xf>
    <xf numFmtId="4" fontId="79" fillId="0" borderId="10" xfId="53" applyNumberFormat="1" applyFont="1" applyFill="1" applyBorder="1">
      <alignment/>
      <protection/>
    </xf>
    <xf numFmtId="4" fontId="89" fillId="44" borderId="10" xfId="53" applyNumberFormat="1" applyFont="1" applyFill="1" applyBorder="1">
      <alignment/>
      <protection/>
    </xf>
    <xf numFmtId="4" fontId="92" fillId="44" borderId="10" xfId="53" applyNumberFormat="1" applyFont="1" applyFill="1" applyBorder="1">
      <alignment/>
      <protection/>
    </xf>
    <xf numFmtId="4" fontId="79" fillId="44" borderId="10" xfId="53" applyNumberFormat="1" applyFont="1" applyFill="1" applyBorder="1">
      <alignment/>
      <protection/>
    </xf>
    <xf numFmtId="4" fontId="91" fillId="45" borderId="10" xfId="53" applyNumberFormat="1" applyFont="1" applyFill="1" applyBorder="1">
      <alignment/>
      <protection/>
    </xf>
    <xf numFmtId="4" fontId="90" fillId="45" borderId="10" xfId="53" applyNumberFormat="1" applyFont="1" applyFill="1" applyBorder="1">
      <alignment/>
      <protection/>
    </xf>
    <xf numFmtId="4" fontId="93" fillId="45" borderId="10" xfId="53" applyNumberFormat="1" applyFont="1" applyFill="1" applyBorder="1">
      <alignment/>
      <protection/>
    </xf>
    <xf numFmtId="0" fontId="5" fillId="44" borderId="10" xfId="0" applyFont="1" applyFill="1" applyBorder="1" applyAlignment="1">
      <alignment/>
    </xf>
    <xf numFmtId="14" fontId="79" fillId="0" borderId="37" xfId="53" applyNumberFormat="1" applyFont="1" applyBorder="1">
      <alignment/>
      <protection/>
    </xf>
    <xf numFmtId="14" fontId="27" fillId="0" borderId="37" xfId="53" applyNumberFormat="1" applyFont="1" applyFill="1" applyBorder="1">
      <alignment/>
      <protection/>
    </xf>
    <xf numFmtId="0" fontId="5" fillId="0" borderId="0" xfId="53" applyFont="1" applyFill="1" applyAlignment="1">
      <alignment/>
      <protection/>
    </xf>
    <xf numFmtId="0" fontId="27" fillId="0" borderId="0" xfId="53" applyFont="1" applyFill="1" applyAlignment="1">
      <alignment/>
      <protection/>
    </xf>
    <xf numFmtId="0" fontId="0" fillId="0" borderId="12" xfId="0" applyBorder="1" applyAlignment="1">
      <alignment/>
    </xf>
    <xf numFmtId="174" fontId="5" fillId="42" borderId="22" xfId="53" applyNumberFormat="1" applyFont="1" applyFill="1" applyBorder="1" applyAlignment="1">
      <alignment horizontal="right"/>
      <protection/>
    </xf>
    <xf numFmtId="174" fontId="5" fillId="42" borderId="22" xfId="53" applyNumberFormat="1" applyFont="1" applyFill="1" applyBorder="1" applyAlignment="1">
      <alignment/>
      <protection/>
    </xf>
    <xf numFmtId="174" fontId="5" fillId="42" borderId="22" xfId="53" applyNumberFormat="1" applyFont="1" applyFill="1" applyBorder="1" applyAlignment="1">
      <alignment horizontal="right"/>
      <protection/>
    </xf>
    <xf numFmtId="174" fontId="5" fillId="42" borderId="22" xfId="53" applyNumberFormat="1" applyFont="1" applyFill="1" applyBorder="1" applyAlignment="1">
      <alignment/>
      <protection/>
    </xf>
    <xf numFmtId="0" fontId="79" fillId="0" borderId="0" xfId="53" applyFont="1" applyFill="1" applyBorder="1" applyAlignment="1">
      <alignment horizontal="center" textRotation="90"/>
      <protection/>
    </xf>
    <xf numFmtId="0" fontId="89" fillId="0" borderId="0" xfId="53" applyFont="1" applyFill="1" applyBorder="1" applyAlignment="1">
      <alignment horizontal="center" textRotation="90"/>
      <protection/>
    </xf>
    <xf numFmtId="0" fontId="31" fillId="0" borderId="10" xfId="53" applyFont="1" applyFill="1" applyBorder="1" applyAlignment="1">
      <alignment horizontal="left" vertical="top" wrapText="1"/>
      <protection/>
    </xf>
    <xf numFmtId="4" fontId="89" fillId="0" borderId="10" xfId="53" applyNumberFormat="1" applyFont="1" applyFill="1" applyBorder="1">
      <alignment/>
      <protection/>
    </xf>
    <xf numFmtId="4" fontId="94" fillId="44" borderId="10" xfId="53" applyNumberFormat="1" applyFont="1" applyFill="1" applyBorder="1">
      <alignment/>
      <protection/>
    </xf>
    <xf numFmtId="4" fontId="95" fillId="45" borderId="10" xfId="53" applyNumberFormat="1" applyFont="1" applyFill="1" applyBorder="1">
      <alignment/>
      <protection/>
    </xf>
    <xf numFmtId="0" fontId="81" fillId="0" borderId="10" xfId="53" applyFont="1" applyFill="1" applyBorder="1">
      <alignment/>
      <protection/>
    </xf>
    <xf numFmtId="4" fontId="80" fillId="40" borderId="10" xfId="53" applyNumberFormat="1" applyFont="1" applyFill="1" applyBorder="1" applyAlignment="1">
      <alignment textRotation="90"/>
      <protection/>
    </xf>
    <xf numFmtId="4" fontId="5" fillId="0" borderId="45" xfId="0" applyNumberFormat="1" applyFont="1" applyBorder="1" applyAlignment="1">
      <alignment horizontal="center" vertical="top" wrapText="1"/>
    </xf>
    <xf numFmtId="0" fontId="8" fillId="0" borderId="31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0" fontId="5" fillId="40" borderId="10" xfId="0" applyFont="1" applyFill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4" fontId="27" fillId="46" borderId="10" xfId="53" applyNumberFormat="1" applyFont="1" applyFill="1" applyBorder="1">
      <alignment/>
      <protection/>
    </xf>
    <xf numFmtId="4" fontId="96" fillId="0" borderId="0" xfId="0" applyNumberFormat="1" applyFont="1" applyAlignment="1">
      <alignment/>
    </xf>
    <xf numFmtId="0" fontId="81" fillId="0" borderId="53" xfId="53" applyFont="1" applyBorder="1" applyAlignment="1">
      <alignment horizontal="left" vertical="top" wrapText="1"/>
      <protection/>
    </xf>
    <xf numFmtId="0" fontId="81" fillId="0" borderId="40" xfId="53" applyFont="1" applyBorder="1" applyAlignment="1">
      <alignment horizontal="left" vertical="top" wrapText="1"/>
      <protection/>
    </xf>
    <xf numFmtId="0" fontId="81" fillId="0" borderId="35" xfId="53" applyFont="1" applyBorder="1" applyAlignment="1">
      <alignment horizontal="left" vertical="top" wrapText="1"/>
      <protection/>
    </xf>
    <xf numFmtId="0" fontId="81" fillId="0" borderId="36" xfId="53" applyFont="1" applyBorder="1" applyAlignment="1">
      <alignment horizontal="left" vertical="top" wrapText="1"/>
      <protection/>
    </xf>
    <xf numFmtId="4" fontId="81" fillId="0" borderId="10" xfId="53" applyNumberFormat="1" applyFont="1" applyBorder="1" applyAlignment="1">
      <alignment horizontal="center"/>
      <protection/>
    </xf>
    <xf numFmtId="0" fontId="81" fillId="0" borderId="10" xfId="53" applyFont="1" applyBorder="1" applyAlignment="1">
      <alignment horizontal="left" vertical="top" wrapText="1"/>
      <protection/>
    </xf>
    <xf numFmtId="0" fontId="80" fillId="0" borderId="33" xfId="53" applyFont="1" applyBorder="1" applyAlignment="1">
      <alignment horizontal="left"/>
      <protection/>
    </xf>
    <xf numFmtId="0" fontId="80" fillId="0" borderId="0" xfId="53" applyFont="1" applyBorder="1" applyAlignment="1">
      <alignment horizontal="left"/>
      <protection/>
    </xf>
    <xf numFmtId="0" fontId="80" fillId="0" borderId="34" xfId="53" applyFont="1" applyBorder="1" applyAlignment="1">
      <alignment horizontal="left"/>
      <protection/>
    </xf>
    <xf numFmtId="0" fontId="79" fillId="0" borderId="0" xfId="53" applyFont="1" applyAlignment="1">
      <alignment horizontal="center"/>
      <protection/>
    </xf>
    <xf numFmtId="0" fontId="79" fillId="0" borderId="37" xfId="53" applyFont="1" applyBorder="1" applyAlignment="1">
      <alignment horizontal="center"/>
      <protection/>
    </xf>
    <xf numFmtId="0" fontId="79" fillId="0" borderId="39" xfId="53" applyFont="1" applyBorder="1" applyAlignment="1">
      <alignment horizontal="left" wrapText="1"/>
      <protection/>
    </xf>
    <xf numFmtId="0" fontId="79" fillId="0" borderId="41" xfId="53" applyFont="1" applyBorder="1" applyAlignment="1">
      <alignment horizontal="left" wrapText="1"/>
      <protection/>
    </xf>
    <xf numFmtId="0" fontId="79" fillId="0" borderId="22" xfId="53" applyFont="1" applyBorder="1" applyAlignment="1">
      <alignment horizontal="left" wrapText="1"/>
      <protection/>
    </xf>
    <xf numFmtId="2" fontId="79" fillId="0" borderId="39" xfId="53" applyNumberFormat="1" applyFont="1" applyBorder="1" applyAlignment="1">
      <alignment horizontal="center"/>
      <protection/>
    </xf>
    <xf numFmtId="2" fontId="79" fillId="0" borderId="41" xfId="53" applyNumberFormat="1" applyFont="1" applyBorder="1" applyAlignment="1">
      <alignment horizontal="center"/>
      <protection/>
    </xf>
    <xf numFmtId="2" fontId="79" fillId="0" borderId="22" xfId="53" applyNumberFormat="1" applyFont="1" applyBorder="1" applyAlignment="1">
      <alignment horizontal="center"/>
      <protection/>
    </xf>
    <xf numFmtId="0" fontId="80" fillId="0" borderId="39" xfId="53" applyFont="1" applyBorder="1" applyAlignment="1">
      <alignment horizontal="left" wrapText="1"/>
      <protection/>
    </xf>
    <xf numFmtId="0" fontId="80" fillId="0" borderId="41" xfId="53" applyFont="1" applyBorder="1" applyAlignment="1">
      <alignment horizontal="left" wrapText="1"/>
      <protection/>
    </xf>
    <xf numFmtId="0" fontId="80" fillId="0" borderId="22" xfId="53" applyFont="1" applyBorder="1" applyAlignment="1">
      <alignment horizontal="left" wrapText="1"/>
      <protection/>
    </xf>
    <xf numFmtId="0" fontId="80" fillId="0" borderId="53" xfId="53" applyFont="1" applyBorder="1" applyAlignment="1">
      <alignment horizontal="left" wrapText="1"/>
      <protection/>
    </xf>
    <xf numFmtId="0" fontId="80" fillId="0" borderId="32" xfId="53" applyFont="1" applyBorder="1" applyAlignment="1">
      <alignment horizontal="left" wrapText="1"/>
      <protection/>
    </xf>
    <xf numFmtId="0" fontId="80" fillId="0" borderId="40" xfId="53" applyFont="1" applyBorder="1" applyAlignment="1">
      <alignment horizontal="left" wrapText="1"/>
      <protection/>
    </xf>
    <xf numFmtId="0" fontId="80" fillId="0" borderId="33" xfId="53" applyFont="1" applyBorder="1" applyAlignment="1">
      <alignment horizontal="left" wrapText="1"/>
      <protection/>
    </xf>
    <xf numFmtId="0" fontId="80" fillId="0" borderId="0" xfId="53" applyFont="1" applyBorder="1" applyAlignment="1">
      <alignment horizontal="left" wrapText="1"/>
      <protection/>
    </xf>
    <xf numFmtId="0" fontId="80" fillId="0" borderId="34" xfId="53" applyFont="1" applyBorder="1" applyAlignment="1">
      <alignment horizontal="left" wrapText="1"/>
      <protection/>
    </xf>
    <xf numFmtId="0" fontId="79" fillId="0" borderId="39" xfId="53" applyFont="1" applyBorder="1" applyAlignment="1">
      <alignment horizontal="center"/>
      <protection/>
    </xf>
    <xf numFmtId="0" fontId="79" fillId="0" borderId="41" xfId="53" applyFont="1" applyBorder="1" applyAlignment="1">
      <alignment horizontal="center"/>
      <protection/>
    </xf>
    <xf numFmtId="0" fontId="79" fillId="0" borderId="22" xfId="53" applyFont="1" applyBorder="1" applyAlignment="1">
      <alignment horizontal="center"/>
      <protection/>
    </xf>
    <xf numFmtId="0" fontId="79" fillId="0" borderId="0" xfId="53" applyFont="1" applyAlignment="1">
      <alignment horizontal="left" wrapText="1"/>
      <protection/>
    </xf>
    <xf numFmtId="0" fontId="79" fillId="0" borderId="39" xfId="53" applyFont="1" applyBorder="1" applyAlignment="1">
      <alignment horizontal="center" vertical="center"/>
      <protection/>
    </xf>
    <xf numFmtId="0" fontId="79" fillId="0" borderId="41" xfId="53" applyFont="1" applyBorder="1" applyAlignment="1">
      <alignment horizontal="center" vertical="center"/>
      <protection/>
    </xf>
    <xf numFmtId="0" fontId="79" fillId="0" borderId="22" xfId="53" applyFont="1" applyBorder="1" applyAlignment="1">
      <alignment horizontal="center" vertical="center"/>
      <protection/>
    </xf>
    <xf numFmtId="0" fontId="79" fillId="0" borderId="39" xfId="53" applyFont="1" applyBorder="1" applyAlignment="1">
      <alignment horizontal="center" vertical="center" wrapText="1"/>
      <protection/>
    </xf>
    <xf numFmtId="0" fontId="79" fillId="0" borderId="41" xfId="53" applyFont="1" applyBorder="1" applyAlignment="1">
      <alignment horizontal="center" vertical="center" wrapText="1"/>
      <protection/>
    </xf>
    <xf numFmtId="0" fontId="79" fillId="0" borderId="22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 wrapText="1"/>
      <protection/>
    </xf>
    <xf numFmtId="4" fontId="79" fillId="0" borderId="39" xfId="53" applyNumberFormat="1" applyFont="1" applyBorder="1" applyAlignment="1">
      <alignment horizontal="center"/>
      <protection/>
    </xf>
    <xf numFmtId="4" fontId="79" fillId="0" borderId="41" xfId="53" applyNumberFormat="1" applyFont="1" applyBorder="1" applyAlignment="1">
      <alignment horizontal="center"/>
      <protection/>
    </xf>
    <xf numFmtId="4" fontId="79" fillId="0" borderId="22" xfId="53" applyNumberFormat="1" applyFont="1" applyBorder="1" applyAlignment="1">
      <alignment horizontal="center"/>
      <protection/>
    </xf>
    <xf numFmtId="0" fontId="81" fillId="0" borderId="39" xfId="53" applyFont="1" applyBorder="1" applyAlignment="1">
      <alignment horizontal="center" vertical="center" wrapText="1"/>
      <protection/>
    </xf>
    <xf numFmtId="0" fontId="81" fillId="0" borderId="41" xfId="53" applyFont="1" applyBorder="1" applyAlignment="1">
      <alignment horizontal="center" vertical="center" wrapText="1"/>
      <protection/>
    </xf>
    <xf numFmtId="0" fontId="81" fillId="0" borderId="22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/>
      <protection/>
    </xf>
    <xf numFmtId="0" fontId="80" fillId="0" borderId="39" xfId="53" applyFont="1" applyBorder="1" applyAlignment="1">
      <alignment horizontal="center" wrapText="1"/>
      <protection/>
    </xf>
    <xf numFmtId="0" fontId="80" fillId="0" borderId="22" xfId="53" applyFont="1" applyBorder="1" applyAlignment="1">
      <alignment horizontal="center" wrapText="1"/>
      <protection/>
    </xf>
    <xf numFmtId="0" fontId="81" fillId="0" borderId="10" xfId="53" applyFont="1" applyBorder="1" applyAlignment="1">
      <alignment horizontal="center" wrapText="1"/>
      <protection/>
    </xf>
    <xf numFmtId="0" fontId="80" fillId="0" borderId="10" xfId="53" applyFont="1" applyBorder="1" applyAlignment="1">
      <alignment horizontal="left" wrapText="1"/>
      <protection/>
    </xf>
    <xf numFmtId="0" fontId="81" fillId="0" borderId="39" xfId="53" applyFont="1" applyBorder="1" applyAlignment="1">
      <alignment horizontal="center"/>
      <protection/>
    </xf>
    <xf numFmtId="0" fontId="81" fillId="0" borderId="22" xfId="53" applyFont="1" applyBorder="1" applyAlignment="1">
      <alignment horizontal="center"/>
      <protection/>
    </xf>
    <xf numFmtId="0" fontId="80" fillId="0" borderId="39" xfId="53" applyFont="1" applyBorder="1" applyAlignment="1">
      <alignment horizontal="center"/>
      <protection/>
    </xf>
    <xf numFmtId="0" fontId="80" fillId="0" borderId="22" xfId="53" applyFont="1" applyBorder="1" applyAlignment="1">
      <alignment horizontal="center"/>
      <protection/>
    </xf>
    <xf numFmtId="0" fontId="81" fillId="0" borderId="10" xfId="53" applyFont="1" applyBorder="1" applyAlignment="1">
      <alignment horizontal="center"/>
      <protection/>
    </xf>
    <xf numFmtId="0" fontId="81" fillId="0" borderId="39" xfId="53" applyFont="1" applyBorder="1" applyAlignment="1">
      <alignment horizontal="center" wrapText="1"/>
      <protection/>
    </xf>
    <xf numFmtId="0" fontId="81" fillId="0" borderId="22" xfId="53" applyFont="1" applyBorder="1" applyAlignment="1">
      <alignment horizontal="center" wrapText="1"/>
      <protection/>
    </xf>
    <xf numFmtId="0" fontId="80" fillId="0" borderId="39" xfId="53" applyFont="1" applyBorder="1" applyAlignment="1">
      <alignment horizontal="left" vertical="center" wrapText="1"/>
      <protection/>
    </xf>
    <xf numFmtId="0" fontId="80" fillId="0" borderId="22" xfId="53" applyFont="1" applyBorder="1" applyAlignment="1">
      <alignment horizontal="left" vertical="center" wrapText="1"/>
      <protection/>
    </xf>
    <xf numFmtId="0" fontId="81" fillId="0" borderId="10" xfId="53" applyFont="1" applyBorder="1" applyAlignment="1">
      <alignment horizontal="center" vertical="center" wrapText="1"/>
      <protection/>
    </xf>
    <xf numFmtId="49" fontId="80" fillId="0" borderId="41" xfId="53" applyNumberFormat="1" applyFont="1" applyBorder="1" applyAlignment="1">
      <alignment horizontal="center" vertical="center" wrapText="1"/>
      <protection/>
    </xf>
    <xf numFmtId="49" fontId="80" fillId="0" borderId="22" xfId="53" applyNumberFormat="1" applyFont="1" applyBorder="1" applyAlignment="1">
      <alignment horizontal="center" vertical="center" wrapText="1"/>
      <protection/>
    </xf>
    <xf numFmtId="0" fontId="81" fillId="0" borderId="39" xfId="53" applyFont="1" applyBorder="1" applyAlignment="1">
      <alignment horizontal="left" vertical="center" wrapText="1"/>
      <protection/>
    </xf>
    <xf numFmtId="0" fontId="81" fillId="0" borderId="41" xfId="53" applyFont="1" applyBorder="1" applyAlignment="1">
      <alignment horizontal="left" vertical="center" wrapText="1"/>
      <protection/>
    </xf>
    <xf numFmtId="0" fontId="81" fillId="0" borderId="22" xfId="53" applyFont="1" applyBorder="1" applyAlignment="1">
      <alignment horizontal="left" vertical="center" wrapText="1"/>
      <protection/>
    </xf>
    <xf numFmtId="0" fontId="81" fillId="0" borderId="39" xfId="53" applyFont="1" applyBorder="1" applyAlignment="1">
      <alignment horizontal="center" vertical="center"/>
      <protection/>
    </xf>
    <xf numFmtId="0" fontId="81" fillId="0" borderId="22" xfId="53" applyFont="1" applyBorder="1" applyAlignment="1">
      <alignment horizontal="center" vertical="center"/>
      <protection/>
    </xf>
    <xf numFmtId="0" fontId="81" fillId="0" borderId="39" xfId="53" applyFont="1" applyBorder="1" applyAlignment="1">
      <alignment horizontal="left" wrapText="1"/>
      <protection/>
    </xf>
    <xf numFmtId="0" fontId="81" fillId="0" borderId="41" xfId="53" applyFont="1" applyBorder="1" applyAlignment="1">
      <alignment horizontal="left" wrapText="1"/>
      <protection/>
    </xf>
    <xf numFmtId="0" fontId="81" fillId="0" borderId="22" xfId="53" applyFont="1" applyBorder="1" applyAlignment="1">
      <alignment horizontal="left" wrapText="1"/>
      <protection/>
    </xf>
    <xf numFmtId="0" fontId="80" fillId="0" borderId="39" xfId="53" applyFont="1" applyBorder="1" applyAlignment="1">
      <alignment wrapText="1"/>
      <protection/>
    </xf>
    <xf numFmtId="0" fontId="80" fillId="0" borderId="41" xfId="53" applyFont="1" applyBorder="1" applyAlignment="1">
      <alignment wrapText="1"/>
      <protection/>
    </xf>
    <xf numFmtId="0" fontId="80" fillId="0" borderId="22" xfId="53" applyFont="1" applyBorder="1" applyAlignment="1">
      <alignment wrapText="1"/>
      <protection/>
    </xf>
    <xf numFmtId="0" fontId="81" fillId="0" borderId="39" xfId="53" applyFont="1" applyBorder="1" applyAlignment="1">
      <alignment/>
      <protection/>
    </xf>
    <xf numFmtId="0" fontId="81" fillId="0" borderId="22" xfId="53" applyFont="1" applyBorder="1" applyAlignment="1">
      <alignment/>
      <protection/>
    </xf>
    <xf numFmtId="0" fontId="81" fillId="0" borderId="41" xfId="53" applyFont="1" applyBorder="1" applyAlignment="1">
      <alignment horizontal="center" wrapText="1"/>
      <protection/>
    </xf>
    <xf numFmtId="0" fontId="81" fillId="0" borderId="53" xfId="53" applyFont="1" applyBorder="1" applyAlignment="1">
      <alignment horizontal="center" vertical="center" wrapText="1"/>
      <protection/>
    </xf>
    <xf numFmtId="0" fontId="81" fillId="0" borderId="40" xfId="53" applyFont="1" applyBorder="1" applyAlignment="1">
      <alignment horizontal="center" vertical="center" wrapText="1"/>
      <protection/>
    </xf>
    <xf numFmtId="0" fontId="81" fillId="0" borderId="35" xfId="53" applyFont="1" applyBorder="1" applyAlignment="1">
      <alignment horizontal="center" vertical="center" wrapText="1"/>
      <protection/>
    </xf>
    <xf numFmtId="0" fontId="81" fillId="0" borderId="36" xfId="53" applyFont="1" applyBorder="1" applyAlignment="1">
      <alignment horizontal="center" vertical="center" wrapText="1"/>
      <protection/>
    </xf>
    <xf numFmtId="4" fontId="84" fillId="0" borderId="39" xfId="53" applyNumberFormat="1" applyFont="1" applyBorder="1" applyAlignment="1">
      <alignment horizontal="center"/>
      <protection/>
    </xf>
    <xf numFmtId="4" fontId="84" fillId="0" borderId="22" xfId="53" applyNumberFormat="1" applyFont="1" applyBorder="1" applyAlignment="1">
      <alignment horizontal="center"/>
      <protection/>
    </xf>
    <xf numFmtId="0" fontId="83" fillId="0" borderId="33" xfId="53" applyFont="1" applyBorder="1" applyAlignment="1">
      <alignment horizontal="center" vertical="top" wrapText="1"/>
      <protection/>
    </xf>
    <xf numFmtId="0" fontId="83" fillId="0" borderId="34" xfId="53" applyFont="1" applyBorder="1" applyAlignment="1">
      <alignment horizontal="center" vertical="top" wrapText="1"/>
      <protection/>
    </xf>
    <xf numFmtId="0" fontId="83" fillId="0" borderId="53" xfId="53" applyFont="1" applyBorder="1" applyAlignment="1">
      <alignment horizontal="center" wrapText="1"/>
      <protection/>
    </xf>
    <xf numFmtId="0" fontId="83" fillId="0" borderId="40" xfId="53" applyFont="1" applyBorder="1" applyAlignment="1">
      <alignment horizontal="center" wrapText="1"/>
      <protection/>
    </xf>
    <xf numFmtId="0" fontId="83" fillId="0" borderId="32" xfId="53" applyFont="1" applyBorder="1" applyAlignment="1">
      <alignment horizontal="center" wrapText="1"/>
      <protection/>
    </xf>
    <xf numFmtId="0" fontId="81" fillId="0" borderId="12" xfId="53" applyFont="1" applyBorder="1" applyAlignment="1">
      <alignment horizontal="center" vertical="center" wrapText="1"/>
      <protection/>
    </xf>
    <xf numFmtId="0" fontId="83" fillId="0" borderId="10" xfId="53" applyFont="1" applyBorder="1" applyAlignment="1">
      <alignment horizontal="center" vertical="top" wrapText="1"/>
      <protection/>
    </xf>
    <xf numFmtId="0" fontId="83" fillId="0" borderId="10" xfId="53" applyFont="1" applyBorder="1" applyAlignment="1">
      <alignment horizontal="left" vertical="top" wrapText="1"/>
      <protection/>
    </xf>
    <xf numFmtId="0" fontId="83" fillId="0" borderId="53" xfId="53" applyFont="1" applyBorder="1" applyAlignment="1">
      <alignment horizontal="center" vertical="top" wrapText="1"/>
      <protection/>
    </xf>
    <xf numFmtId="0" fontId="83" fillId="0" borderId="40" xfId="53" applyFont="1" applyBorder="1" applyAlignment="1">
      <alignment horizontal="center" vertical="top" wrapText="1"/>
      <protection/>
    </xf>
    <xf numFmtId="0" fontId="81" fillId="0" borderId="33" xfId="53" applyFont="1" applyBorder="1" applyAlignment="1">
      <alignment horizontal="center" vertical="center" wrapText="1"/>
      <protection/>
    </xf>
    <xf numFmtId="0" fontId="81" fillId="0" borderId="34" xfId="53" applyFont="1" applyBorder="1" applyAlignment="1">
      <alignment horizontal="center" vertical="center" wrapText="1"/>
      <protection/>
    </xf>
    <xf numFmtId="0" fontId="81" fillId="0" borderId="30" xfId="53" applyFont="1" applyBorder="1" applyAlignment="1">
      <alignment horizontal="center" vertical="center" wrapText="1"/>
      <protection/>
    </xf>
    <xf numFmtId="0" fontId="82" fillId="0" borderId="10" xfId="53" applyFont="1" applyBorder="1" applyAlignment="1">
      <alignment horizontal="center" vertical="top" wrapText="1"/>
      <protection/>
    </xf>
    <xf numFmtId="0" fontId="91" fillId="0" borderId="0" xfId="53" applyFont="1" applyAlignment="1">
      <alignment horizontal="center"/>
      <protection/>
    </xf>
    <xf numFmtId="0" fontId="89" fillId="0" borderId="0" xfId="53" applyFont="1" applyAlignment="1">
      <alignment horizontal="center" wrapText="1"/>
      <protection/>
    </xf>
    <xf numFmtId="0" fontId="79" fillId="0" borderId="0" xfId="53" applyFont="1" applyFill="1" applyAlignment="1">
      <alignment horizontal="center"/>
      <protection/>
    </xf>
    <xf numFmtId="0" fontId="79" fillId="0" borderId="10" xfId="53" applyFont="1" applyFill="1" applyBorder="1" applyAlignment="1">
      <alignment horizontal="center"/>
      <protection/>
    </xf>
    <xf numFmtId="0" fontId="79" fillId="0" borderId="12" xfId="53" applyFont="1" applyFill="1" applyBorder="1" applyAlignment="1">
      <alignment horizontal="center"/>
      <protection/>
    </xf>
    <xf numFmtId="0" fontId="79" fillId="0" borderId="34" xfId="53" applyFont="1" applyFill="1" applyBorder="1" applyAlignment="1">
      <alignment horizontal="center" textRotation="90"/>
      <protection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169" fontId="5" fillId="0" borderId="39" xfId="53" applyNumberFormat="1" applyFont="1" applyFill="1" applyBorder="1" applyAlignment="1">
      <alignment horizontal="center" vertical="center"/>
      <protection/>
    </xf>
    <xf numFmtId="169" fontId="5" fillId="0" borderId="22" xfId="53" applyNumberFormat="1" applyFont="1" applyFill="1" applyBorder="1" applyAlignment="1">
      <alignment horizontal="center" vertical="center"/>
      <protection/>
    </xf>
    <xf numFmtId="169" fontId="5" fillId="0" borderId="53" xfId="53" applyNumberFormat="1" applyFont="1" applyFill="1" applyBorder="1" applyAlignment="1">
      <alignment horizontal="center" vertical="center" wrapText="1"/>
      <protection/>
    </xf>
    <xf numFmtId="169" fontId="5" fillId="0" borderId="40" xfId="53" applyNumberFormat="1" applyFont="1" applyFill="1" applyBorder="1" applyAlignment="1">
      <alignment horizontal="center" vertical="center" wrapText="1"/>
      <protection/>
    </xf>
    <xf numFmtId="169" fontId="5" fillId="0" borderId="35" xfId="53" applyNumberFormat="1" applyFont="1" applyFill="1" applyBorder="1" applyAlignment="1">
      <alignment horizontal="center" vertical="center" wrapText="1"/>
      <protection/>
    </xf>
    <xf numFmtId="169" fontId="5" fillId="0" borderId="36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27" fillId="0" borderId="0" xfId="53" applyFont="1" applyFill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39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39" xfId="53" applyFont="1" applyFill="1" applyBorder="1" applyAlignment="1">
      <alignment horizontal="left" vertical="top" wrapText="1"/>
      <protection/>
    </xf>
    <xf numFmtId="0" fontId="5" fillId="0" borderId="22" xfId="53" applyFont="1" applyFill="1" applyBorder="1" applyAlignment="1">
      <alignment horizontal="left" vertical="top" wrapText="1"/>
      <protection/>
    </xf>
    <xf numFmtId="174" fontId="5" fillId="0" borderId="39" xfId="53" applyNumberFormat="1" applyFont="1" applyFill="1" applyBorder="1" applyAlignment="1">
      <alignment/>
      <protection/>
    </xf>
    <xf numFmtId="174" fontId="5" fillId="0" borderId="22" xfId="53" applyNumberFormat="1" applyFont="1" applyFill="1" applyBorder="1" applyAlignment="1">
      <alignment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42" borderId="39" xfId="53" applyFont="1" applyFill="1" applyBorder="1" applyAlignment="1">
      <alignment horizontal="left" vertical="top" wrapText="1"/>
      <protection/>
    </xf>
    <xf numFmtId="0" fontId="5" fillId="42" borderId="22" xfId="53" applyFont="1" applyFill="1" applyBorder="1" applyAlignment="1">
      <alignment horizontal="left" vertical="top" wrapText="1"/>
      <protection/>
    </xf>
    <xf numFmtId="174" fontId="5" fillId="42" borderId="39" xfId="53" applyNumberFormat="1" applyFont="1" applyFill="1" applyBorder="1" applyAlignment="1">
      <alignment horizontal="right"/>
      <protection/>
    </xf>
    <xf numFmtId="174" fontId="5" fillId="42" borderId="22" xfId="53" applyNumberFormat="1" applyFont="1" applyFill="1" applyBorder="1" applyAlignment="1">
      <alignment horizontal="right"/>
      <protection/>
    </xf>
    <xf numFmtId="174" fontId="5" fillId="42" borderId="39" xfId="53" applyNumberFormat="1" applyFont="1" applyFill="1" applyBorder="1" applyAlignment="1">
      <alignment/>
      <protection/>
    </xf>
    <xf numFmtId="174" fontId="5" fillId="42" borderId="22" xfId="53" applyNumberFormat="1" applyFont="1" applyFill="1" applyBorder="1" applyAlignment="1">
      <alignment/>
      <protection/>
    </xf>
    <xf numFmtId="0" fontId="5" fillId="0" borderId="41" xfId="53" applyFont="1" applyFill="1" applyBorder="1" applyAlignment="1">
      <alignment horizontal="center" vertical="center"/>
      <protection/>
    </xf>
    <xf numFmtId="0" fontId="5" fillId="41" borderId="39" xfId="53" applyFont="1" applyFill="1" applyBorder="1" applyAlignment="1">
      <alignment horizontal="left" vertical="top" wrapText="1"/>
      <protection/>
    </xf>
    <xf numFmtId="0" fontId="5" fillId="41" borderId="22" xfId="53" applyFont="1" applyFill="1" applyBorder="1" applyAlignment="1">
      <alignment horizontal="left" vertical="top" wrapText="1"/>
      <protection/>
    </xf>
    <xf numFmtId="174" fontId="31" fillId="41" borderId="39" xfId="53" applyNumberFormat="1" applyFont="1" applyFill="1" applyBorder="1" applyAlignment="1">
      <alignment horizontal="right"/>
      <protection/>
    </xf>
    <xf numFmtId="0" fontId="31" fillId="41" borderId="22" xfId="53" applyFont="1" applyFill="1" applyBorder="1" applyAlignment="1">
      <alignment horizontal="right"/>
      <protection/>
    </xf>
    <xf numFmtId="0" fontId="85" fillId="0" borderId="37" xfId="53" applyFont="1" applyFill="1" applyBorder="1" applyAlignment="1">
      <alignment horizontal="left"/>
      <protection/>
    </xf>
    <xf numFmtId="0" fontId="26" fillId="0" borderId="0" xfId="53" applyFont="1" applyFill="1" applyAlignment="1">
      <alignment horizontal="center" wrapText="1"/>
      <protection/>
    </xf>
    <xf numFmtId="0" fontId="6" fillId="0" borderId="0" xfId="53" applyFont="1" applyFill="1" applyAlignment="1">
      <alignment horizontal="center" wrapText="1"/>
      <protection/>
    </xf>
    <xf numFmtId="0" fontId="85" fillId="0" borderId="37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7;&#1072;&#1075;&#1088;&#1091;&#1079;&#1082;&#1080;\&#1084;&#1091;&#1085;&#1080;&#1094;&#1080;&#1087;&#1072;&#1083;&#1100;&#1085;&#1086;&#1077;%20&#1079;&#1072;&#1076;&#1072;&#1085;&#1080;&#1077;%20&#1085;&#1072;%202013&#1075;%20&#1076;&#1083;&#1103;%20&#1076;&#1077;&#1090;&#1089;&#1082;&#1080;&#1093;%20&#1089;&#1072;&#1076;&#1086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7;&#1072;&#1075;&#1088;&#1091;&#1079;&#1082;&#1080;\&#1084;&#1091;&#1085;&#1080;&#1094;&#1080;&#1087;&#1072;&#1083;&#1100;&#1085;&#1086;&#1077;%20&#1079;&#1072;&#1076;&#1072;&#1085;&#1080;&#1077;%20&#1085;&#1072;%202013&#1075;-&#1085;&#1072;%2001.07%20&#1076;&#1083;&#1103;%20&#1076;&#1077;&#1090;&#1089;&#1082;&#1080;&#1093;%20&#1089;&#1072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</sheetNames>
    <sheetDataSet>
      <sheetData sheetId="0">
        <row r="69">
          <cell r="D69">
            <v>152</v>
          </cell>
          <cell r="E69">
            <v>152</v>
          </cell>
          <cell r="F69">
            <v>152</v>
          </cell>
        </row>
        <row r="70">
          <cell r="D70">
            <v>152</v>
          </cell>
          <cell r="E70">
            <v>152</v>
          </cell>
          <cell r="F70">
            <v>152</v>
          </cell>
        </row>
        <row r="71">
          <cell r="D71">
            <v>152</v>
          </cell>
          <cell r="E71">
            <v>152</v>
          </cell>
          <cell r="F71">
            <v>152</v>
          </cell>
        </row>
        <row r="138">
          <cell r="D138">
            <v>30075</v>
          </cell>
          <cell r="E138">
            <v>0</v>
          </cell>
        </row>
      </sheetData>
      <sheetData sheetId="1">
        <row r="17">
          <cell r="C17">
            <v>338335</v>
          </cell>
          <cell r="D17">
            <v>845838</v>
          </cell>
          <cell r="E17">
            <v>845838</v>
          </cell>
        </row>
        <row r="18">
          <cell r="C18">
            <v>556598</v>
          </cell>
          <cell r="D18">
            <v>629061.18</v>
          </cell>
          <cell r="E18">
            <v>681528.0399999999</v>
          </cell>
        </row>
        <row r="19">
          <cell r="C19">
            <v>104042</v>
          </cell>
          <cell r="D19">
            <v>0</v>
          </cell>
          <cell r="E19">
            <v>0</v>
          </cell>
        </row>
      </sheetData>
      <sheetData sheetId="9">
        <row r="17">
          <cell r="C17">
            <v>525775</v>
          </cell>
          <cell r="D17">
            <v>845838</v>
          </cell>
          <cell r="E17">
            <v>845838</v>
          </cell>
        </row>
        <row r="18">
          <cell r="C18">
            <v>467813.25</v>
          </cell>
          <cell r="D18">
            <v>663554.3</v>
          </cell>
          <cell r="E18">
            <v>548379.6699999999</v>
          </cell>
        </row>
        <row r="19">
          <cell r="C19">
            <v>86118</v>
          </cell>
          <cell r="D19">
            <v>0</v>
          </cell>
          <cell r="E19">
            <v>17924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  <sheetName val="отчет1433-1"/>
    </sheetNames>
    <sheetDataSet>
      <sheetData sheetId="0">
        <row r="69">
          <cell r="D69">
            <v>152</v>
          </cell>
          <cell r="E69">
            <v>152</v>
          </cell>
        </row>
        <row r="70">
          <cell r="D70">
            <v>152</v>
          </cell>
          <cell r="E70">
            <v>152</v>
          </cell>
        </row>
        <row r="71">
          <cell r="D71">
            <v>152</v>
          </cell>
          <cell r="E71">
            <v>152</v>
          </cell>
        </row>
        <row r="138">
          <cell r="G138">
            <v>64798</v>
          </cell>
        </row>
      </sheetData>
      <sheetData sheetId="1">
        <row r="17">
          <cell r="G17">
            <v>566950</v>
          </cell>
          <cell r="H17">
            <v>726470.31</v>
          </cell>
          <cell r="I17">
            <v>352216.38</v>
          </cell>
        </row>
        <row r="18">
          <cell r="G18">
            <v>1810009.84</v>
          </cell>
          <cell r="H18">
            <v>1446368.79</v>
          </cell>
          <cell r="I18">
            <v>407300.75</v>
          </cell>
        </row>
        <row r="19">
          <cell r="D19">
            <v>0</v>
          </cell>
          <cell r="G19">
            <v>18000</v>
          </cell>
          <cell r="I19">
            <v>86042</v>
          </cell>
        </row>
      </sheetData>
      <sheetData sheetId="9">
        <row r="17">
          <cell r="G17">
            <v>1177275.4</v>
          </cell>
          <cell r="H17">
            <v>970266</v>
          </cell>
          <cell r="I17">
            <v>660274</v>
          </cell>
        </row>
        <row r="18">
          <cell r="G18">
            <v>942816.0399999999</v>
          </cell>
          <cell r="H18">
            <v>725358.86</v>
          </cell>
          <cell r="I18">
            <v>797613.1199999999</v>
          </cell>
        </row>
        <row r="19">
          <cell r="E19">
            <v>0</v>
          </cell>
          <cell r="G19">
            <v>17805</v>
          </cell>
          <cell r="H19">
            <v>86118</v>
          </cell>
        </row>
      </sheetData>
      <sheetData sheetId="11">
        <row r="44">
          <cell r="C44">
            <v>2030.011</v>
          </cell>
        </row>
        <row r="45">
          <cell r="C45">
            <v>1867.18722</v>
          </cell>
        </row>
        <row r="47">
          <cell r="C47">
            <v>104.042</v>
          </cell>
        </row>
        <row r="56">
          <cell r="C56">
            <v>30.075</v>
          </cell>
        </row>
        <row r="60">
          <cell r="C60">
            <v>2217.451</v>
          </cell>
        </row>
        <row r="61">
          <cell r="C61">
            <v>1679.7472199999997</v>
          </cell>
        </row>
        <row r="63">
          <cell r="C63">
            <v>104.042</v>
          </cell>
        </row>
        <row r="72">
          <cell r="C72">
            <v>30.075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6"/>
  <sheetViews>
    <sheetView view="pageBreakPreview" zoomScaleSheetLayoutView="100" zoomScalePageLayoutView="0" workbookViewId="0" topLeftCell="A79">
      <selection activeCell="A82" sqref="A82:R131"/>
    </sheetView>
  </sheetViews>
  <sheetFormatPr defaultColWidth="9.00390625" defaultRowHeight="12.75"/>
  <cols>
    <col min="1" max="1" width="6.375" style="164" customWidth="1"/>
    <col min="2" max="2" width="10.00390625" style="164" customWidth="1"/>
    <col min="3" max="3" width="13.625" style="164" customWidth="1"/>
    <col min="4" max="4" width="6.75390625" style="164" customWidth="1"/>
    <col min="5" max="5" width="6.625" style="164" customWidth="1"/>
    <col min="6" max="6" width="6.375" style="164" customWidth="1"/>
    <col min="7" max="9" width="5.875" style="164" customWidth="1"/>
    <col min="10" max="10" width="6.125" style="164" customWidth="1"/>
    <col min="11" max="11" width="6.125" style="164" bestFit="1" customWidth="1"/>
    <col min="12" max="12" width="6.75390625" style="164" customWidth="1"/>
    <col min="13" max="14" width="6.375" style="164" customWidth="1"/>
    <col min="15" max="15" width="6.00390625" style="164" customWidth="1"/>
    <col min="16" max="16" width="12.625" style="164" customWidth="1"/>
    <col min="17" max="17" width="11.125" style="164" customWidth="1"/>
    <col min="18" max="18" width="10.25390625" style="164" customWidth="1"/>
    <col min="19" max="16384" width="9.125" style="164" customWidth="1"/>
  </cols>
  <sheetData>
    <row r="1" ht="11.25" customHeight="1">
      <c r="R1" s="165" t="s">
        <v>173</v>
      </c>
    </row>
    <row r="2" ht="11.25" customHeight="1">
      <c r="R2" s="165" t="s">
        <v>174</v>
      </c>
    </row>
    <row r="3" ht="12" customHeight="1">
      <c r="R3" s="165" t="s">
        <v>175</v>
      </c>
    </row>
    <row r="4" ht="12" customHeight="1">
      <c r="R4" s="165" t="s">
        <v>176</v>
      </c>
    </row>
    <row r="5" ht="12" customHeight="1">
      <c r="R5" s="165" t="s">
        <v>177</v>
      </c>
    </row>
    <row r="6" ht="10.5" customHeight="1">
      <c r="R6" s="165" t="s">
        <v>178</v>
      </c>
    </row>
    <row r="7" ht="11.25" customHeight="1">
      <c r="R7" s="165" t="s">
        <v>179</v>
      </c>
    </row>
    <row r="8" ht="11.25" customHeight="1">
      <c r="R8" s="165" t="s">
        <v>180</v>
      </c>
    </row>
    <row r="9" ht="11.25" customHeight="1">
      <c r="R9" s="165" t="s">
        <v>181</v>
      </c>
    </row>
    <row r="10" ht="12" customHeight="1">
      <c r="R10" s="165" t="s">
        <v>182</v>
      </c>
    </row>
    <row r="11" ht="15" hidden="1"/>
    <row r="12" spans="1:18" ht="15" customHeight="1">
      <c r="A12" s="484" t="s">
        <v>183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</row>
    <row r="13" spans="1:18" ht="15">
      <c r="A13" s="399" t="s">
        <v>184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</row>
    <row r="14" spans="1:18" ht="15">
      <c r="A14" s="399" t="s">
        <v>404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</row>
    <row r="17" spans="2:23" ht="29.25" customHeight="1">
      <c r="B17" s="164" t="s">
        <v>185</v>
      </c>
      <c r="H17" s="485" t="s">
        <v>422</v>
      </c>
      <c r="I17" s="485"/>
      <c r="J17" s="485"/>
      <c r="K17" s="485"/>
      <c r="L17" s="485"/>
      <c r="M17" s="485"/>
      <c r="N17" s="485"/>
      <c r="O17" s="485"/>
      <c r="P17" s="485"/>
      <c r="Q17" s="485"/>
      <c r="S17" s="166"/>
      <c r="T17" s="166"/>
      <c r="U17" s="166"/>
      <c r="V17" s="166"/>
      <c r="W17" s="166"/>
    </row>
    <row r="19" ht="15">
      <c r="B19" s="164" t="s">
        <v>186</v>
      </c>
    </row>
    <row r="21" spans="1:18" ht="93" customHeight="1">
      <c r="A21" s="167" t="s">
        <v>187</v>
      </c>
      <c r="B21" s="167" t="s">
        <v>188</v>
      </c>
      <c r="C21" s="167" t="s">
        <v>189</v>
      </c>
      <c r="D21" s="464" t="s">
        <v>30</v>
      </c>
      <c r="E21" s="465"/>
      <c r="F21" s="464" t="s">
        <v>190</v>
      </c>
      <c r="G21" s="465"/>
      <c r="H21" s="464" t="s">
        <v>191</v>
      </c>
      <c r="I21" s="465"/>
      <c r="J21" s="464" t="s">
        <v>192</v>
      </c>
      <c r="K21" s="465"/>
      <c r="L21" s="464" t="s">
        <v>193</v>
      </c>
      <c r="M21" s="465"/>
      <c r="N21" s="464" t="s">
        <v>194</v>
      </c>
      <c r="O21" s="465"/>
      <c r="P21" s="167" t="s">
        <v>195</v>
      </c>
      <c r="Q21" s="464" t="s">
        <v>196</v>
      </c>
      <c r="R21" s="465"/>
    </row>
    <row r="22" spans="1:18" s="168" customFormat="1" ht="222" customHeight="1">
      <c r="A22" s="483">
        <v>1</v>
      </c>
      <c r="B22" s="483" t="s">
        <v>197</v>
      </c>
      <c r="C22" s="483" t="s">
        <v>198</v>
      </c>
      <c r="D22" s="483" t="s">
        <v>199</v>
      </c>
      <c r="E22" s="483"/>
      <c r="F22" s="483" t="s">
        <v>200</v>
      </c>
      <c r="G22" s="483"/>
      <c r="H22" s="483" t="s">
        <v>201</v>
      </c>
      <c r="I22" s="483"/>
      <c r="J22" s="476" t="s">
        <v>198</v>
      </c>
      <c r="K22" s="476"/>
      <c r="L22" s="483" t="s">
        <v>202</v>
      </c>
      <c r="M22" s="483"/>
      <c r="N22" s="483" t="s">
        <v>203</v>
      </c>
      <c r="O22" s="483"/>
      <c r="P22" s="476" t="s">
        <v>204</v>
      </c>
      <c r="Q22" s="477" t="s">
        <v>205</v>
      </c>
      <c r="R22" s="477"/>
    </row>
    <row r="23" spans="1:18" s="168" customFormat="1" ht="60.7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76"/>
      <c r="K23" s="476"/>
      <c r="L23" s="483"/>
      <c r="M23" s="483"/>
      <c r="N23" s="483"/>
      <c r="O23" s="483"/>
      <c r="P23" s="476"/>
      <c r="Q23" s="477"/>
      <c r="R23" s="477"/>
    </row>
    <row r="24" spans="1:18" s="168" customFormat="1" ht="60.7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76"/>
      <c r="K24" s="476"/>
      <c r="L24" s="483"/>
      <c r="M24" s="483"/>
      <c r="N24" s="483"/>
      <c r="O24" s="483"/>
      <c r="P24" s="476"/>
      <c r="Q24" s="477"/>
      <c r="R24" s="477"/>
    </row>
    <row r="25" spans="1:18" s="168" customFormat="1" ht="60.75" customHeight="1">
      <c r="A25" s="483"/>
      <c r="B25" s="483"/>
      <c r="C25" s="483"/>
      <c r="D25" s="483"/>
      <c r="E25" s="483"/>
      <c r="F25" s="483"/>
      <c r="G25" s="483"/>
      <c r="H25" s="483"/>
      <c r="I25" s="483"/>
      <c r="J25" s="476"/>
      <c r="K25" s="476"/>
      <c r="L25" s="483"/>
      <c r="M25" s="483"/>
      <c r="N25" s="483"/>
      <c r="O25" s="483"/>
      <c r="P25" s="476"/>
      <c r="Q25" s="477"/>
      <c r="R25" s="477"/>
    </row>
    <row r="26" spans="1:18" s="168" customFormat="1" ht="60.75" customHeight="1">
      <c r="A26" s="483"/>
      <c r="B26" s="483"/>
      <c r="C26" s="483"/>
      <c r="D26" s="483"/>
      <c r="E26" s="483"/>
      <c r="F26" s="483"/>
      <c r="G26" s="483"/>
      <c r="H26" s="483"/>
      <c r="I26" s="483"/>
      <c r="J26" s="476"/>
      <c r="K26" s="476"/>
      <c r="L26" s="483"/>
      <c r="M26" s="483"/>
      <c r="N26" s="483"/>
      <c r="O26" s="483"/>
      <c r="P26" s="476"/>
      <c r="Q26" s="477"/>
      <c r="R26" s="477"/>
    </row>
    <row r="27" spans="1:18" s="168" customFormat="1" ht="60.75" customHeight="1">
      <c r="A27" s="483"/>
      <c r="B27" s="483"/>
      <c r="C27" s="483"/>
      <c r="D27" s="483"/>
      <c r="E27" s="483"/>
      <c r="F27" s="483"/>
      <c r="G27" s="483"/>
      <c r="H27" s="483"/>
      <c r="I27" s="483"/>
      <c r="J27" s="476"/>
      <c r="K27" s="476"/>
      <c r="L27" s="483"/>
      <c r="M27" s="483"/>
      <c r="N27" s="483"/>
      <c r="O27" s="483"/>
      <c r="P27" s="476"/>
      <c r="Q27" s="477"/>
      <c r="R27" s="477"/>
    </row>
    <row r="28" spans="1:18" s="168" customFormat="1" ht="60.75" customHeight="1">
      <c r="A28" s="483"/>
      <c r="B28" s="483"/>
      <c r="C28" s="483"/>
      <c r="D28" s="483"/>
      <c r="E28" s="483"/>
      <c r="F28" s="483"/>
      <c r="G28" s="483"/>
      <c r="H28" s="483"/>
      <c r="I28" s="483"/>
      <c r="J28" s="476"/>
      <c r="K28" s="476"/>
      <c r="L28" s="483"/>
      <c r="M28" s="483"/>
      <c r="N28" s="483"/>
      <c r="O28" s="483"/>
      <c r="P28" s="476"/>
      <c r="Q28" s="477"/>
      <c r="R28" s="477"/>
    </row>
    <row r="29" spans="1:18" s="168" customFormat="1" ht="60.75" customHeight="1">
      <c r="A29" s="483"/>
      <c r="B29" s="483"/>
      <c r="C29" s="483"/>
      <c r="D29" s="483"/>
      <c r="E29" s="483"/>
      <c r="F29" s="483"/>
      <c r="G29" s="483"/>
      <c r="H29" s="483"/>
      <c r="I29" s="483"/>
      <c r="J29" s="476"/>
      <c r="K29" s="476"/>
      <c r="L29" s="483"/>
      <c r="M29" s="483"/>
      <c r="N29" s="483"/>
      <c r="O29" s="483"/>
      <c r="P29" s="476"/>
      <c r="Q29" s="477"/>
      <c r="R29" s="477"/>
    </row>
    <row r="30" spans="1:18" s="168" customFormat="1" ht="35.25" customHeight="1">
      <c r="A30" s="483"/>
      <c r="B30" s="483"/>
      <c r="C30" s="483"/>
      <c r="D30" s="483"/>
      <c r="E30" s="483"/>
      <c r="F30" s="483"/>
      <c r="G30" s="483"/>
      <c r="H30" s="483"/>
      <c r="I30" s="483"/>
      <c r="J30" s="476"/>
      <c r="K30" s="476"/>
      <c r="L30" s="483"/>
      <c r="M30" s="483"/>
      <c r="N30" s="483"/>
      <c r="O30" s="483"/>
      <c r="P30" s="476"/>
      <c r="Q30" s="477"/>
      <c r="R30" s="477"/>
    </row>
    <row r="31" spans="1:18" s="168" customFormat="1" ht="60.75" customHeight="1">
      <c r="A31" s="483"/>
      <c r="B31" s="483"/>
      <c r="C31" s="483"/>
      <c r="D31" s="483"/>
      <c r="E31" s="483"/>
      <c r="F31" s="483"/>
      <c r="G31" s="483"/>
      <c r="H31" s="483"/>
      <c r="I31" s="483"/>
      <c r="J31" s="476"/>
      <c r="K31" s="476"/>
      <c r="L31" s="483"/>
      <c r="M31" s="483"/>
      <c r="N31" s="483"/>
      <c r="O31" s="483"/>
      <c r="P31" s="476"/>
      <c r="Q31" s="477"/>
      <c r="R31" s="477"/>
    </row>
    <row r="32" spans="1:18" s="168" customFormat="1" ht="83.25" customHeight="1">
      <c r="A32" s="483"/>
      <c r="B32" s="483"/>
      <c r="C32" s="483"/>
      <c r="D32" s="483"/>
      <c r="E32" s="483"/>
      <c r="F32" s="483"/>
      <c r="G32" s="483"/>
      <c r="H32" s="483"/>
      <c r="I32" s="483"/>
      <c r="J32" s="476"/>
      <c r="K32" s="476"/>
      <c r="L32" s="483"/>
      <c r="M32" s="483"/>
      <c r="N32" s="483"/>
      <c r="O32" s="483"/>
      <c r="P32" s="476"/>
      <c r="Q32" s="477"/>
      <c r="R32" s="477"/>
    </row>
    <row r="33" spans="1:18" s="168" customFormat="1" ht="90.75" customHeight="1">
      <c r="A33" s="483"/>
      <c r="B33" s="483"/>
      <c r="C33" s="483"/>
      <c r="D33" s="483"/>
      <c r="E33" s="483"/>
      <c r="F33" s="483"/>
      <c r="G33" s="483"/>
      <c r="H33" s="483"/>
      <c r="I33" s="483"/>
      <c r="J33" s="476"/>
      <c r="K33" s="476"/>
      <c r="L33" s="483"/>
      <c r="M33" s="483"/>
      <c r="N33" s="483"/>
      <c r="O33" s="483"/>
      <c r="P33" s="476"/>
      <c r="Q33" s="477"/>
      <c r="R33" s="477"/>
    </row>
    <row r="34" spans="1:18" ht="115.5" customHeight="1">
      <c r="A34" s="483"/>
      <c r="B34" s="483"/>
      <c r="C34" s="483"/>
      <c r="D34" s="483"/>
      <c r="E34" s="483"/>
      <c r="F34" s="483"/>
      <c r="G34" s="483"/>
      <c r="H34" s="483"/>
      <c r="I34" s="483"/>
      <c r="J34" s="476"/>
      <c r="K34" s="476"/>
      <c r="L34" s="483"/>
      <c r="M34" s="483"/>
      <c r="N34" s="483"/>
      <c r="O34" s="483"/>
      <c r="P34" s="476"/>
      <c r="Q34" s="477"/>
      <c r="R34" s="477"/>
    </row>
    <row r="36" ht="15">
      <c r="B36" s="164" t="s">
        <v>206</v>
      </c>
    </row>
    <row r="38" spans="1:18" ht="15" customHeight="1">
      <c r="A38" s="464" t="s">
        <v>188</v>
      </c>
      <c r="B38" s="465"/>
      <c r="C38" s="475" t="s">
        <v>207</v>
      </c>
      <c r="D38" s="447" t="s">
        <v>208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</row>
    <row r="39" spans="1:18" ht="28.5" customHeight="1">
      <c r="A39" s="480"/>
      <c r="B39" s="481"/>
      <c r="C39" s="482"/>
      <c r="D39" s="447" t="s">
        <v>209</v>
      </c>
      <c r="E39" s="447"/>
      <c r="F39" s="447"/>
      <c r="G39" s="447"/>
      <c r="H39" s="447"/>
      <c r="I39" s="447"/>
      <c r="J39" s="430" t="s">
        <v>210</v>
      </c>
      <c r="K39" s="431"/>
      <c r="L39" s="431"/>
      <c r="M39" s="431"/>
      <c r="N39" s="431"/>
      <c r="O39" s="432"/>
      <c r="P39" s="447" t="s">
        <v>211</v>
      </c>
      <c r="Q39" s="447"/>
      <c r="R39" s="447"/>
    </row>
    <row r="40" spans="1:19" ht="83.25" customHeight="1">
      <c r="A40" s="480"/>
      <c r="B40" s="481"/>
      <c r="C40" s="482"/>
      <c r="D40" s="475" t="s">
        <v>212</v>
      </c>
      <c r="E40" s="475"/>
      <c r="F40" s="475" t="s">
        <v>213</v>
      </c>
      <c r="G40" s="475"/>
      <c r="H40" s="475" t="s">
        <v>214</v>
      </c>
      <c r="I40" s="475"/>
      <c r="J40" s="475" t="s">
        <v>212</v>
      </c>
      <c r="K40" s="475"/>
      <c r="L40" s="475" t="s">
        <v>213</v>
      </c>
      <c r="M40" s="475"/>
      <c r="N40" s="464" t="s">
        <v>214</v>
      </c>
      <c r="O40" s="465"/>
      <c r="P40" s="169" t="s">
        <v>212</v>
      </c>
      <c r="Q40" s="169" t="s">
        <v>213</v>
      </c>
      <c r="R40" s="169" t="s">
        <v>214</v>
      </c>
      <c r="S40" s="170"/>
    </row>
    <row r="41" spans="1:18" s="174" customFormat="1" ht="199.5" customHeight="1">
      <c r="A41" s="476" t="s">
        <v>197</v>
      </c>
      <c r="B41" s="476"/>
      <c r="C41" s="477" t="s">
        <v>215</v>
      </c>
      <c r="D41" s="478" t="s">
        <v>216</v>
      </c>
      <c r="E41" s="479"/>
      <c r="F41" s="478" t="s">
        <v>217</v>
      </c>
      <c r="G41" s="479"/>
      <c r="H41" s="472"/>
      <c r="I41" s="473"/>
      <c r="J41" s="474"/>
      <c r="K41" s="474"/>
      <c r="L41" s="472"/>
      <c r="M41" s="473"/>
      <c r="N41" s="474"/>
      <c r="O41" s="474"/>
      <c r="P41" s="171" t="s">
        <v>218</v>
      </c>
      <c r="Q41" s="172" t="s">
        <v>219</v>
      </c>
      <c r="R41" s="173"/>
    </row>
    <row r="42" spans="1:18" s="174" customFormat="1" ht="10.5">
      <c r="A42" s="476"/>
      <c r="B42" s="476"/>
      <c r="C42" s="477"/>
      <c r="D42" s="470"/>
      <c r="E42" s="471"/>
      <c r="F42" s="470"/>
      <c r="G42" s="471"/>
      <c r="H42" s="175"/>
      <c r="I42" s="176"/>
      <c r="J42" s="177"/>
      <c r="K42" s="177"/>
      <c r="L42" s="175"/>
      <c r="M42" s="176"/>
      <c r="N42" s="177"/>
      <c r="O42" s="177"/>
      <c r="P42" s="178"/>
      <c r="Q42" s="179"/>
      <c r="R42" s="180"/>
    </row>
    <row r="43" spans="1:18" s="174" customFormat="1" ht="10.5">
      <c r="A43" s="476"/>
      <c r="B43" s="476"/>
      <c r="C43" s="477"/>
      <c r="D43" s="470"/>
      <c r="E43" s="471"/>
      <c r="F43" s="470"/>
      <c r="G43" s="471"/>
      <c r="H43" s="175"/>
      <c r="I43" s="176"/>
      <c r="J43" s="177"/>
      <c r="K43" s="177"/>
      <c r="L43" s="175"/>
      <c r="M43" s="176"/>
      <c r="N43" s="177"/>
      <c r="O43" s="177"/>
      <c r="P43" s="178"/>
      <c r="Q43" s="179"/>
      <c r="R43" s="180"/>
    </row>
    <row r="44" spans="1:18" s="174" customFormat="1" ht="10.5">
      <c r="A44" s="476"/>
      <c r="B44" s="476"/>
      <c r="C44" s="477"/>
      <c r="D44" s="470"/>
      <c r="E44" s="471"/>
      <c r="F44" s="470"/>
      <c r="G44" s="471"/>
      <c r="H44" s="175"/>
      <c r="I44" s="176"/>
      <c r="J44" s="177"/>
      <c r="K44" s="177"/>
      <c r="L44" s="175"/>
      <c r="M44" s="176"/>
      <c r="N44" s="177"/>
      <c r="O44" s="177"/>
      <c r="P44" s="178"/>
      <c r="Q44" s="179"/>
      <c r="R44" s="180"/>
    </row>
    <row r="45" spans="1:18" s="174" customFormat="1" ht="10.5">
      <c r="A45" s="476"/>
      <c r="B45" s="476"/>
      <c r="C45" s="477"/>
      <c r="D45" s="470"/>
      <c r="E45" s="471"/>
      <c r="F45" s="470"/>
      <c r="G45" s="471"/>
      <c r="H45" s="175"/>
      <c r="I45" s="176"/>
      <c r="J45" s="177"/>
      <c r="K45" s="177"/>
      <c r="L45" s="175"/>
      <c r="M45" s="176"/>
      <c r="N45" s="177"/>
      <c r="O45" s="177"/>
      <c r="P45" s="178"/>
      <c r="Q45" s="179"/>
      <c r="R45" s="180"/>
    </row>
    <row r="46" spans="1:18" s="174" customFormat="1" ht="10.5">
      <c r="A46" s="476"/>
      <c r="B46" s="476"/>
      <c r="C46" s="477"/>
      <c r="D46" s="470"/>
      <c r="E46" s="471"/>
      <c r="F46" s="470"/>
      <c r="G46" s="471"/>
      <c r="H46" s="175"/>
      <c r="I46" s="176"/>
      <c r="J46" s="177"/>
      <c r="K46" s="177"/>
      <c r="L46" s="175"/>
      <c r="M46" s="176"/>
      <c r="N46" s="177"/>
      <c r="O46" s="177"/>
      <c r="P46" s="178"/>
      <c r="Q46" s="179"/>
      <c r="R46" s="180"/>
    </row>
    <row r="47" spans="1:18" s="174" customFormat="1" ht="10.5">
      <c r="A47" s="476"/>
      <c r="B47" s="476"/>
      <c r="C47" s="477"/>
      <c r="D47" s="470"/>
      <c r="E47" s="471"/>
      <c r="F47" s="470"/>
      <c r="G47" s="471"/>
      <c r="H47" s="175"/>
      <c r="I47" s="176"/>
      <c r="J47" s="177"/>
      <c r="K47" s="177"/>
      <c r="L47" s="175"/>
      <c r="M47" s="176"/>
      <c r="N47" s="177"/>
      <c r="O47" s="177"/>
      <c r="P47" s="178"/>
      <c r="Q47" s="179"/>
      <c r="R47" s="180"/>
    </row>
    <row r="48" spans="1:18" s="174" customFormat="1" ht="10.5">
      <c r="A48" s="476"/>
      <c r="B48" s="476"/>
      <c r="C48" s="477"/>
      <c r="D48" s="470"/>
      <c r="E48" s="471"/>
      <c r="F48" s="470"/>
      <c r="G48" s="471"/>
      <c r="H48" s="175"/>
      <c r="I48" s="176"/>
      <c r="J48" s="177"/>
      <c r="K48" s="177"/>
      <c r="L48" s="175"/>
      <c r="M48" s="176"/>
      <c r="N48" s="177"/>
      <c r="O48" s="177"/>
      <c r="P48" s="178"/>
      <c r="Q48" s="179"/>
      <c r="R48" s="180"/>
    </row>
    <row r="49" spans="1:18" s="174" customFormat="1" ht="10.5">
      <c r="A49" s="476"/>
      <c r="B49" s="476"/>
      <c r="C49" s="477"/>
      <c r="D49" s="470"/>
      <c r="E49" s="471"/>
      <c r="F49" s="470"/>
      <c r="G49" s="471"/>
      <c r="H49" s="175"/>
      <c r="I49" s="176"/>
      <c r="J49" s="177"/>
      <c r="K49" s="177"/>
      <c r="L49" s="175"/>
      <c r="M49" s="176"/>
      <c r="N49" s="177"/>
      <c r="O49" s="177"/>
      <c r="P49" s="178"/>
      <c r="Q49" s="179"/>
      <c r="R49" s="180"/>
    </row>
    <row r="50" spans="1:18" s="174" customFormat="1" ht="10.5">
      <c r="A50" s="476"/>
      <c r="B50" s="476"/>
      <c r="C50" s="477"/>
      <c r="D50" s="470"/>
      <c r="E50" s="471"/>
      <c r="F50" s="470"/>
      <c r="G50" s="471"/>
      <c r="H50" s="175"/>
      <c r="I50" s="176"/>
      <c r="J50" s="177"/>
      <c r="K50" s="177"/>
      <c r="L50" s="175"/>
      <c r="M50" s="176"/>
      <c r="N50" s="177"/>
      <c r="O50" s="177"/>
      <c r="P50" s="178"/>
      <c r="Q50" s="179"/>
      <c r="R50" s="180"/>
    </row>
    <row r="51" spans="1:18" s="174" customFormat="1" ht="10.5">
      <c r="A51" s="476"/>
      <c r="B51" s="476"/>
      <c r="C51" s="477"/>
      <c r="D51" s="470"/>
      <c r="E51" s="471"/>
      <c r="F51" s="470"/>
      <c r="G51" s="471"/>
      <c r="H51" s="175"/>
      <c r="I51" s="176"/>
      <c r="J51" s="177"/>
      <c r="K51" s="177"/>
      <c r="L51" s="175"/>
      <c r="M51" s="176"/>
      <c r="N51" s="177"/>
      <c r="O51" s="177"/>
      <c r="P51" s="178"/>
      <c r="Q51" s="179"/>
      <c r="R51" s="180"/>
    </row>
    <row r="52" spans="1:18" s="174" customFormat="1" ht="10.5">
      <c r="A52" s="476"/>
      <c r="B52" s="476"/>
      <c r="C52" s="477"/>
      <c r="D52" s="470"/>
      <c r="E52" s="471"/>
      <c r="F52" s="470"/>
      <c r="G52" s="471"/>
      <c r="H52" s="175"/>
      <c r="I52" s="176"/>
      <c r="J52" s="177"/>
      <c r="K52" s="177"/>
      <c r="L52" s="175"/>
      <c r="M52" s="176"/>
      <c r="N52" s="177"/>
      <c r="O52" s="177"/>
      <c r="P52" s="178"/>
      <c r="Q52" s="179"/>
      <c r="R52" s="180"/>
    </row>
    <row r="53" spans="1:18" s="174" customFormat="1" ht="10.5">
      <c r="A53" s="476"/>
      <c r="B53" s="476"/>
      <c r="C53" s="477"/>
      <c r="D53" s="470"/>
      <c r="E53" s="471"/>
      <c r="F53" s="470"/>
      <c r="G53" s="471"/>
      <c r="H53" s="175"/>
      <c r="I53" s="176"/>
      <c r="J53" s="177"/>
      <c r="K53" s="177"/>
      <c r="L53" s="175"/>
      <c r="M53" s="176"/>
      <c r="N53" s="177"/>
      <c r="O53" s="177"/>
      <c r="P53" s="178"/>
      <c r="Q53" s="179"/>
      <c r="R53" s="180"/>
    </row>
    <row r="54" spans="1:18" s="174" customFormat="1" ht="10.5">
      <c r="A54" s="476"/>
      <c r="B54" s="476"/>
      <c r="C54" s="477"/>
      <c r="D54" s="470"/>
      <c r="E54" s="471"/>
      <c r="F54" s="470"/>
      <c r="G54" s="471"/>
      <c r="H54" s="175"/>
      <c r="I54" s="176"/>
      <c r="J54" s="177"/>
      <c r="K54" s="177"/>
      <c r="L54" s="175"/>
      <c r="M54" s="176"/>
      <c r="N54" s="177"/>
      <c r="O54" s="177"/>
      <c r="P54" s="178"/>
      <c r="Q54" s="179"/>
      <c r="R54" s="180"/>
    </row>
    <row r="55" spans="1:18" s="174" customFormat="1" ht="10.5">
      <c r="A55" s="476"/>
      <c r="B55" s="476"/>
      <c r="C55" s="477"/>
      <c r="D55" s="470"/>
      <c r="E55" s="471"/>
      <c r="F55" s="470"/>
      <c r="G55" s="471"/>
      <c r="H55" s="175"/>
      <c r="I55" s="176"/>
      <c r="J55" s="177"/>
      <c r="K55" s="177"/>
      <c r="L55" s="175"/>
      <c r="M55" s="176"/>
      <c r="N55" s="177"/>
      <c r="O55" s="177"/>
      <c r="P55" s="178"/>
      <c r="Q55" s="179"/>
      <c r="R55" s="180"/>
    </row>
    <row r="56" spans="1:18" s="174" customFormat="1" ht="34.5" customHeight="1">
      <c r="A56" s="476"/>
      <c r="B56" s="476"/>
      <c r="C56" s="477"/>
      <c r="D56" s="470"/>
      <c r="E56" s="471"/>
      <c r="F56" s="470"/>
      <c r="G56" s="471"/>
      <c r="H56" s="175"/>
      <c r="I56" s="177"/>
      <c r="J56" s="175"/>
      <c r="K56" s="176"/>
      <c r="L56" s="177"/>
      <c r="M56" s="176"/>
      <c r="N56" s="177"/>
      <c r="O56" s="176"/>
      <c r="P56" s="181"/>
      <c r="Q56" s="179"/>
      <c r="R56" s="180"/>
    </row>
    <row r="57" spans="1:18" s="174" customFormat="1" ht="34.5" customHeight="1">
      <c r="A57" s="476"/>
      <c r="B57" s="476"/>
      <c r="C57" s="477"/>
      <c r="D57" s="470"/>
      <c r="E57" s="471"/>
      <c r="F57" s="470"/>
      <c r="G57" s="471"/>
      <c r="H57" s="175"/>
      <c r="I57" s="177"/>
      <c r="J57" s="175"/>
      <c r="K57" s="176"/>
      <c r="L57" s="177"/>
      <c r="M57" s="177"/>
      <c r="N57" s="175"/>
      <c r="O57" s="176"/>
      <c r="P57" s="179"/>
      <c r="Q57" s="178"/>
      <c r="R57" s="182"/>
    </row>
    <row r="58" spans="1:18" s="174" customFormat="1" ht="34.5" customHeight="1">
      <c r="A58" s="476"/>
      <c r="B58" s="476"/>
      <c r="C58" s="477"/>
      <c r="D58" s="470"/>
      <c r="E58" s="471"/>
      <c r="F58" s="470"/>
      <c r="G58" s="471"/>
      <c r="H58" s="175"/>
      <c r="I58" s="177"/>
      <c r="J58" s="175"/>
      <c r="K58" s="176"/>
      <c r="L58" s="177"/>
      <c r="M58" s="177"/>
      <c r="N58" s="175"/>
      <c r="O58" s="176"/>
      <c r="P58" s="179"/>
      <c r="Q58" s="178"/>
      <c r="R58" s="182"/>
    </row>
    <row r="59" spans="1:18" s="174" customFormat="1" ht="46.5" customHeight="1">
      <c r="A59" s="476"/>
      <c r="B59" s="476"/>
      <c r="C59" s="477"/>
      <c r="D59" s="470"/>
      <c r="E59" s="471"/>
      <c r="F59" s="470"/>
      <c r="G59" s="471"/>
      <c r="H59" s="175"/>
      <c r="I59" s="177"/>
      <c r="J59" s="175"/>
      <c r="K59" s="176"/>
      <c r="L59" s="177"/>
      <c r="M59" s="177"/>
      <c r="N59" s="175"/>
      <c r="O59" s="176"/>
      <c r="P59" s="179"/>
      <c r="Q59" s="178"/>
      <c r="R59" s="182"/>
    </row>
    <row r="60" spans="1:18" s="174" customFormat="1" ht="46.5" customHeight="1">
      <c r="A60" s="476"/>
      <c r="B60" s="476"/>
      <c r="C60" s="477"/>
      <c r="D60" s="470"/>
      <c r="E60" s="471"/>
      <c r="F60" s="470"/>
      <c r="G60" s="471"/>
      <c r="H60" s="175"/>
      <c r="I60" s="177"/>
      <c r="J60" s="175"/>
      <c r="K60" s="176"/>
      <c r="L60" s="177"/>
      <c r="M60" s="177"/>
      <c r="N60" s="175"/>
      <c r="O60" s="176"/>
      <c r="P60" s="179"/>
      <c r="Q60" s="178"/>
      <c r="R60" s="182"/>
    </row>
    <row r="61" spans="1:18" s="174" customFormat="1" ht="46.5" customHeight="1">
      <c r="A61" s="476"/>
      <c r="B61" s="476"/>
      <c r="C61" s="477"/>
      <c r="D61" s="470"/>
      <c r="E61" s="471"/>
      <c r="F61" s="470"/>
      <c r="G61" s="471"/>
      <c r="H61" s="175"/>
      <c r="I61" s="177"/>
      <c r="J61" s="175"/>
      <c r="K61" s="176"/>
      <c r="L61" s="177"/>
      <c r="M61" s="177"/>
      <c r="N61" s="175"/>
      <c r="O61" s="176"/>
      <c r="P61" s="179"/>
      <c r="Q61" s="178"/>
      <c r="R61" s="182"/>
    </row>
    <row r="62" spans="1:18" s="174" customFormat="1" ht="2.25" customHeight="1">
      <c r="A62" s="476"/>
      <c r="B62" s="476"/>
      <c r="C62" s="477"/>
      <c r="D62" s="183"/>
      <c r="E62" s="184"/>
      <c r="F62" s="185"/>
      <c r="G62" s="186"/>
      <c r="H62" s="187"/>
      <c r="I62" s="188"/>
      <c r="J62" s="187"/>
      <c r="K62" s="189"/>
      <c r="L62" s="188"/>
      <c r="M62" s="188"/>
      <c r="N62" s="188"/>
      <c r="O62" s="189"/>
      <c r="P62" s="190"/>
      <c r="Q62" s="190"/>
      <c r="R62" s="191"/>
    </row>
    <row r="63" spans="9:11" ht="15">
      <c r="I63" s="166"/>
      <c r="J63" s="166"/>
      <c r="K63" s="166"/>
    </row>
    <row r="64" ht="15">
      <c r="B64" s="164" t="s">
        <v>220</v>
      </c>
    </row>
    <row r="66" spans="1:17" ht="28.5" customHeight="1">
      <c r="A66" s="447" t="s">
        <v>221</v>
      </c>
      <c r="B66" s="447"/>
      <c r="C66" s="447"/>
      <c r="D66" s="430" t="s">
        <v>222</v>
      </c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2"/>
      <c r="P66" s="464" t="s">
        <v>223</v>
      </c>
      <c r="Q66" s="465"/>
    </row>
    <row r="67" spans="1:17" ht="15">
      <c r="A67" s="447"/>
      <c r="B67" s="447"/>
      <c r="C67" s="447"/>
      <c r="D67" s="192">
        <v>1</v>
      </c>
      <c r="E67" s="192">
        <v>2</v>
      </c>
      <c r="F67" s="192">
        <v>3</v>
      </c>
      <c r="G67" s="192">
        <v>4</v>
      </c>
      <c r="H67" s="192">
        <v>5</v>
      </c>
      <c r="I67" s="192">
        <v>6</v>
      </c>
      <c r="J67" s="192">
        <v>7</v>
      </c>
      <c r="K67" s="192">
        <v>8</v>
      </c>
      <c r="L67" s="192">
        <v>9</v>
      </c>
      <c r="M67" s="192">
        <v>10</v>
      </c>
      <c r="N67" s="192">
        <v>11</v>
      </c>
      <c r="O67" s="192">
        <v>12</v>
      </c>
      <c r="P67" s="466"/>
      <c r="Q67" s="467"/>
    </row>
    <row r="68" spans="1:17" ht="118.5" customHeight="1">
      <c r="A68" s="456" t="s">
        <v>224</v>
      </c>
      <c r="B68" s="456"/>
      <c r="C68" s="457"/>
      <c r="D68" s="193">
        <f>D69</f>
        <v>816</v>
      </c>
      <c r="E68" s="193">
        <f aca="true" t="shared" si="0" ref="E68:O68">E69</f>
        <v>816</v>
      </c>
      <c r="F68" s="193">
        <f t="shared" si="0"/>
        <v>816</v>
      </c>
      <c r="G68" s="193">
        <f t="shared" si="0"/>
        <v>816</v>
      </c>
      <c r="H68" s="193">
        <f t="shared" si="0"/>
        <v>816</v>
      </c>
      <c r="I68" s="193">
        <f t="shared" si="0"/>
        <v>816</v>
      </c>
      <c r="J68" s="193">
        <f t="shared" si="0"/>
        <v>816</v>
      </c>
      <c r="K68" s="193">
        <f t="shared" si="0"/>
        <v>816</v>
      </c>
      <c r="L68" s="193">
        <f t="shared" si="0"/>
        <v>816</v>
      </c>
      <c r="M68" s="193">
        <f t="shared" si="0"/>
        <v>816</v>
      </c>
      <c r="N68" s="193">
        <f t="shared" si="0"/>
        <v>816</v>
      </c>
      <c r="O68" s="193">
        <f t="shared" si="0"/>
        <v>816</v>
      </c>
      <c r="P68" s="438">
        <f>ROUND((D68+E68+F68+G68+H68+I68+J68+K68+L68+M68+N68+O68)/12,0)</f>
        <v>816</v>
      </c>
      <c r="Q68" s="439"/>
    </row>
    <row r="69" spans="1:17" ht="50.25" customHeight="1">
      <c r="A69" s="455" t="s">
        <v>225</v>
      </c>
      <c r="B69" s="456"/>
      <c r="C69" s="457"/>
      <c r="D69" s="194">
        <v>816</v>
      </c>
      <c r="E69" s="195">
        <f aca="true" t="shared" si="1" ref="E69:O71">D69</f>
        <v>816</v>
      </c>
      <c r="F69" s="195">
        <f t="shared" si="1"/>
        <v>816</v>
      </c>
      <c r="G69" s="195">
        <f t="shared" si="1"/>
        <v>816</v>
      </c>
      <c r="H69" s="195">
        <f t="shared" si="1"/>
        <v>816</v>
      </c>
      <c r="I69" s="195">
        <f t="shared" si="1"/>
        <v>816</v>
      </c>
      <c r="J69" s="195">
        <f t="shared" si="1"/>
        <v>816</v>
      </c>
      <c r="K69" s="195">
        <f>J69</f>
        <v>816</v>
      </c>
      <c r="L69" s="195">
        <f>K69</f>
        <v>816</v>
      </c>
      <c r="M69" s="195">
        <f t="shared" si="1"/>
        <v>816</v>
      </c>
      <c r="N69" s="195">
        <f t="shared" si="1"/>
        <v>816</v>
      </c>
      <c r="O69" s="195">
        <f t="shared" si="1"/>
        <v>816</v>
      </c>
      <c r="P69" s="438">
        <f>ROUND((D69+E69+F69+G69+H69+I69+J69+K69+L69+M69+N69+O69)/12,0)</f>
        <v>816</v>
      </c>
      <c r="Q69" s="439"/>
    </row>
    <row r="70" spans="1:17" ht="34.5" customHeight="1">
      <c r="A70" s="455" t="s">
        <v>226</v>
      </c>
      <c r="B70" s="456"/>
      <c r="C70" s="457"/>
      <c r="D70" s="195">
        <f>D69</f>
        <v>816</v>
      </c>
      <c r="E70" s="195">
        <f t="shared" si="1"/>
        <v>816</v>
      </c>
      <c r="F70" s="195">
        <f t="shared" si="1"/>
        <v>816</v>
      </c>
      <c r="G70" s="195">
        <f t="shared" si="1"/>
        <v>816</v>
      </c>
      <c r="H70" s="195">
        <f t="shared" si="1"/>
        <v>816</v>
      </c>
      <c r="I70" s="195">
        <f t="shared" si="1"/>
        <v>816</v>
      </c>
      <c r="J70" s="195">
        <f t="shared" si="1"/>
        <v>816</v>
      </c>
      <c r="K70" s="195">
        <f>K69</f>
        <v>816</v>
      </c>
      <c r="L70" s="195">
        <f>L69</f>
        <v>816</v>
      </c>
      <c r="M70" s="195">
        <f t="shared" si="1"/>
        <v>816</v>
      </c>
      <c r="N70" s="195">
        <f t="shared" si="1"/>
        <v>816</v>
      </c>
      <c r="O70" s="195">
        <f t="shared" si="1"/>
        <v>816</v>
      </c>
      <c r="P70" s="438">
        <f>ROUND((D70+E70+F70+G70+H70+I70+J70+K70+L70+M70+N70+O70)/12,0)</f>
        <v>816</v>
      </c>
      <c r="Q70" s="439"/>
    </row>
    <row r="71" spans="1:17" ht="42" customHeight="1">
      <c r="A71" s="455" t="s">
        <v>227</v>
      </c>
      <c r="B71" s="456"/>
      <c r="C71" s="457"/>
      <c r="D71" s="195">
        <f>D70</f>
        <v>816</v>
      </c>
      <c r="E71" s="195">
        <f t="shared" si="1"/>
        <v>816</v>
      </c>
      <c r="F71" s="195">
        <f t="shared" si="1"/>
        <v>816</v>
      </c>
      <c r="G71" s="195">
        <f t="shared" si="1"/>
        <v>816</v>
      </c>
      <c r="H71" s="195">
        <f t="shared" si="1"/>
        <v>816</v>
      </c>
      <c r="I71" s="195">
        <f t="shared" si="1"/>
        <v>816</v>
      </c>
      <c r="J71" s="195">
        <f t="shared" si="1"/>
        <v>816</v>
      </c>
      <c r="K71" s="195">
        <f>K70</f>
        <v>816</v>
      </c>
      <c r="L71" s="195">
        <f>L70</f>
        <v>816</v>
      </c>
      <c r="M71" s="195">
        <f t="shared" si="1"/>
        <v>816</v>
      </c>
      <c r="N71" s="195">
        <f t="shared" si="1"/>
        <v>816</v>
      </c>
      <c r="O71" s="195">
        <f t="shared" si="1"/>
        <v>816</v>
      </c>
      <c r="P71" s="438">
        <f>ROUND((D71+E71+F71+G71+H71+I71+J71+K71+L71+M71+N71+O71)/12,0)</f>
        <v>816</v>
      </c>
      <c r="Q71" s="439"/>
    </row>
    <row r="72" ht="15" hidden="1"/>
    <row r="73" ht="15.75" thickBot="1"/>
    <row r="74" spans="1:2" ht="15">
      <c r="A74" s="196" t="s">
        <v>228</v>
      </c>
      <c r="B74" s="197" t="s">
        <v>229</v>
      </c>
    </row>
    <row r="76" ht="15" hidden="1"/>
    <row r="77" spans="1:18" ht="27.75" customHeight="1">
      <c r="A77" s="419" t="s">
        <v>230</v>
      </c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</row>
    <row r="80" ht="15">
      <c r="B80" s="164" t="s">
        <v>231</v>
      </c>
    </row>
    <row r="82" ht="15">
      <c r="B82" s="164" t="s">
        <v>232</v>
      </c>
    </row>
    <row r="84" spans="1:17" ht="15" customHeight="1">
      <c r="A84" s="447" t="s">
        <v>233</v>
      </c>
      <c r="B84" s="447"/>
      <c r="C84" s="447"/>
      <c r="D84" s="430" t="s">
        <v>222</v>
      </c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2"/>
      <c r="P84" s="464" t="s">
        <v>234</v>
      </c>
      <c r="Q84" s="465"/>
    </row>
    <row r="85" spans="1:17" ht="15">
      <c r="A85" s="447"/>
      <c r="B85" s="447"/>
      <c r="C85" s="447"/>
      <c r="D85" s="192">
        <v>1</v>
      </c>
      <c r="E85" s="192">
        <v>2</v>
      </c>
      <c r="F85" s="192">
        <v>3</v>
      </c>
      <c r="G85" s="192">
        <v>4</v>
      </c>
      <c r="H85" s="192">
        <v>5</v>
      </c>
      <c r="I85" s="192">
        <v>6</v>
      </c>
      <c r="J85" s="192">
        <v>7</v>
      </c>
      <c r="K85" s="192">
        <v>8</v>
      </c>
      <c r="L85" s="192">
        <v>9</v>
      </c>
      <c r="M85" s="192">
        <v>10</v>
      </c>
      <c r="N85" s="192">
        <v>11</v>
      </c>
      <c r="O85" s="192">
        <v>12</v>
      </c>
      <c r="P85" s="466"/>
      <c r="Q85" s="467"/>
    </row>
    <row r="86" spans="1:17" ht="91.5" customHeight="1">
      <c r="A86" s="456" t="s">
        <v>235</v>
      </c>
      <c r="B86" s="456"/>
      <c r="C86" s="457"/>
      <c r="D86" s="198">
        <f>D107+D119</f>
        <v>1434544</v>
      </c>
      <c r="E86" s="198">
        <f aca="true" t="shared" si="2" ref="E86:P86">E107+E119</f>
        <v>3738459</v>
      </c>
      <c r="F86" s="198">
        <f t="shared" si="2"/>
        <v>3717381</v>
      </c>
      <c r="G86" s="198">
        <f t="shared" si="2"/>
        <v>6048688.000080001</v>
      </c>
      <c r="H86" s="198">
        <f t="shared" si="2"/>
        <v>2849541.99692</v>
      </c>
      <c r="I86" s="198">
        <f t="shared" si="2"/>
        <v>4763096.001</v>
      </c>
      <c r="J86" s="198">
        <f t="shared" si="2"/>
        <v>2204291.99518</v>
      </c>
      <c r="K86" s="198">
        <f t="shared" si="2"/>
        <v>1772424.9949400001</v>
      </c>
      <c r="L86" s="198">
        <f t="shared" si="2"/>
        <v>3356572.0098800007</v>
      </c>
      <c r="M86" s="198">
        <f t="shared" si="2"/>
        <v>6024757.998299999</v>
      </c>
      <c r="N86" s="198">
        <f t="shared" si="2"/>
        <v>1377619.00122</v>
      </c>
      <c r="O86" s="198">
        <f t="shared" si="2"/>
        <v>6176321</v>
      </c>
      <c r="P86" s="468">
        <f t="shared" si="2"/>
        <v>43463696.99752001</v>
      </c>
      <c r="Q86" s="469"/>
    </row>
    <row r="87" ht="15" hidden="1"/>
    <row r="88" ht="15.75" thickBot="1"/>
    <row r="89" spans="1:13" ht="15">
      <c r="A89" s="196" t="s">
        <v>228</v>
      </c>
      <c r="B89" s="197" t="s">
        <v>229</v>
      </c>
      <c r="M89" s="164" t="s">
        <v>90</v>
      </c>
    </row>
    <row r="91" spans="1:18" ht="29.25" customHeight="1">
      <c r="A91" s="419" t="s">
        <v>230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</row>
    <row r="95" ht="15">
      <c r="B95" s="164" t="s">
        <v>236</v>
      </c>
    </row>
    <row r="97" spans="1:17" ht="15" customHeight="1">
      <c r="A97" s="447" t="s">
        <v>221</v>
      </c>
      <c r="B97" s="447"/>
      <c r="C97" s="447" t="s">
        <v>237</v>
      </c>
      <c r="D97" s="430" t="s">
        <v>238</v>
      </c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2"/>
      <c r="P97" s="447" t="s">
        <v>234</v>
      </c>
      <c r="Q97" s="447"/>
    </row>
    <row r="98" spans="1:17" ht="41.25" customHeight="1">
      <c r="A98" s="447"/>
      <c r="B98" s="447"/>
      <c r="C98" s="447"/>
      <c r="D98" s="192">
        <v>1</v>
      </c>
      <c r="E98" s="192">
        <v>2</v>
      </c>
      <c r="F98" s="192">
        <v>3</v>
      </c>
      <c r="G98" s="192">
        <v>4</v>
      </c>
      <c r="H98" s="192">
        <v>5</v>
      </c>
      <c r="I98" s="192">
        <v>6</v>
      </c>
      <c r="J98" s="192">
        <v>7</v>
      </c>
      <c r="K98" s="192">
        <v>8</v>
      </c>
      <c r="L98" s="192">
        <v>9</v>
      </c>
      <c r="M98" s="192">
        <v>10</v>
      </c>
      <c r="N98" s="192">
        <v>11</v>
      </c>
      <c r="O98" s="192">
        <v>12</v>
      </c>
      <c r="P98" s="447"/>
      <c r="Q98" s="447"/>
    </row>
    <row r="99" spans="1:17" ht="48.75" customHeight="1">
      <c r="A99" s="390" t="s">
        <v>405</v>
      </c>
      <c r="B99" s="391"/>
      <c r="C99" s="199" t="s">
        <v>239</v>
      </c>
      <c r="D99" s="200">
        <f>ROUND(D100/D68,2)</f>
        <v>0</v>
      </c>
      <c r="E99" s="200">
        <f aca="true" t="shared" si="3" ref="E99:O99">ROUND(E100/E68,2)</f>
        <v>0</v>
      </c>
      <c r="F99" s="200">
        <f t="shared" si="3"/>
        <v>0</v>
      </c>
      <c r="G99" s="200">
        <f t="shared" si="3"/>
        <v>0</v>
      </c>
      <c r="H99" s="200">
        <f t="shared" si="3"/>
        <v>0</v>
      </c>
      <c r="I99" s="200">
        <f t="shared" si="3"/>
        <v>0</v>
      </c>
      <c r="J99" s="200">
        <f t="shared" si="3"/>
        <v>0</v>
      </c>
      <c r="K99" s="200">
        <f t="shared" si="3"/>
        <v>0</v>
      </c>
      <c r="L99" s="200">
        <f t="shared" si="3"/>
        <v>0</v>
      </c>
      <c r="M99" s="200">
        <f t="shared" si="3"/>
        <v>0</v>
      </c>
      <c r="N99" s="200">
        <f t="shared" si="3"/>
        <v>0</v>
      </c>
      <c r="O99" s="200">
        <f t="shared" si="3"/>
        <v>0</v>
      </c>
      <c r="P99" s="394">
        <f aca="true" t="shared" si="4" ref="P99:P107">SUM(D99:O99)</f>
        <v>0</v>
      </c>
      <c r="Q99" s="394"/>
    </row>
    <row r="100" spans="1:17" ht="58.5" customHeight="1">
      <c r="A100" s="392"/>
      <c r="B100" s="393"/>
      <c r="C100" s="199" t="s">
        <v>240</v>
      </c>
      <c r="D100" s="201"/>
      <c r="E100" s="201"/>
      <c r="F100" s="201"/>
      <c r="G100" s="202"/>
      <c r="H100" s="202"/>
      <c r="I100" s="202"/>
      <c r="J100" s="201"/>
      <c r="K100" s="201"/>
      <c r="L100" s="201"/>
      <c r="M100" s="201"/>
      <c r="N100" s="201"/>
      <c r="O100" s="201"/>
      <c r="P100" s="394">
        <f t="shared" si="4"/>
        <v>0</v>
      </c>
      <c r="Q100" s="394"/>
    </row>
    <row r="101" spans="1:17" ht="41.25" customHeight="1">
      <c r="A101" s="395" t="s">
        <v>406</v>
      </c>
      <c r="B101" s="395"/>
      <c r="C101" s="199" t="s">
        <v>239</v>
      </c>
      <c r="D101" s="200">
        <f>ROUND(D102/D68,2)</f>
        <v>422.92</v>
      </c>
      <c r="E101" s="200">
        <f aca="true" t="shared" si="5" ref="E101:O101">ROUND(E102/E68,2)</f>
        <v>452.33</v>
      </c>
      <c r="F101" s="200">
        <f t="shared" si="5"/>
        <v>684.06</v>
      </c>
      <c r="G101" s="200">
        <f t="shared" si="5"/>
        <v>237.87</v>
      </c>
      <c r="H101" s="200">
        <f t="shared" si="5"/>
        <v>376.94</v>
      </c>
      <c r="I101" s="200">
        <f t="shared" si="5"/>
        <v>36.02</v>
      </c>
      <c r="J101" s="200">
        <f t="shared" si="5"/>
        <v>376.94</v>
      </c>
      <c r="K101" s="200">
        <f t="shared" si="5"/>
        <v>35.65</v>
      </c>
      <c r="L101" s="200">
        <f t="shared" si="5"/>
        <v>420.91</v>
      </c>
      <c r="M101" s="200">
        <f t="shared" si="5"/>
        <v>431.14</v>
      </c>
      <c r="N101" s="200">
        <f t="shared" si="5"/>
        <v>407.27</v>
      </c>
      <c r="O101" s="200">
        <f t="shared" si="5"/>
        <v>1036.39</v>
      </c>
      <c r="P101" s="394">
        <f t="shared" si="4"/>
        <v>4918.44</v>
      </c>
      <c r="Q101" s="394"/>
    </row>
    <row r="102" spans="1:17" ht="54" customHeight="1">
      <c r="A102" s="395"/>
      <c r="B102" s="395"/>
      <c r="C102" s="199" t="s">
        <v>240</v>
      </c>
      <c r="D102" s="201">
        <f>'вспомогательная таблица'!D26</f>
        <v>345100</v>
      </c>
      <c r="E102" s="201">
        <f>'вспомогательная таблица'!E26</f>
        <v>369100</v>
      </c>
      <c r="F102" s="201">
        <f>'вспомогательная таблица'!F26</f>
        <v>558191</v>
      </c>
      <c r="G102" s="379">
        <f>'вспомогательная таблица'!H26</f>
        <v>194100</v>
      </c>
      <c r="H102" s="379">
        <f>'вспомогательная таблица'!I26</f>
        <v>307583</v>
      </c>
      <c r="I102" s="379">
        <f>'вспомогательная таблица'!J26</f>
        <v>29390</v>
      </c>
      <c r="J102" s="201">
        <f>'вспомогательная таблица'!L26</f>
        <v>307583</v>
      </c>
      <c r="K102" s="201">
        <f>'вспомогательная таблица'!M26</f>
        <v>29090</v>
      </c>
      <c r="L102" s="201">
        <f>'вспомогательная таблица'!N26</f>
        <v>343466</v>
      </c>
      <c r="M102" s="201">
        <f>'вспомогательная таблица'!P26</f>
        <v>351811</v>
      </c>
      <c r="N102" s="201">
        <f>'вспомогательная таблица'!Q26</f>
        <v>332329</v>
      </c>
      <c r="O102" s="201">
        <f>'вспомогательная таблица'!R26</f>
        <v>845698</v>
      </c>
      <c r="P102" s="394">
        <f t="shared" si="4"/>
        <v>4013441</v>
      </c>
      <c r="Q102" s="394"/>
    </row>
    <row r="103" spans="1:17" ht="57.75" customHeight="1">
      <c r="A103" s="390" t="s">
        <v>407</v>
      </c>
      <c r="B103" s="391"/>
      <c r="C103" s="199" t="s">
        <v>239</v>
      </c>
      <c r="D103" s="200">
        <f>ROUND(D104/D68,2)</f>
        <v>616.03</v>
      </c>
      <c r="E103" s="200">
        <f aca="true" t="shared" si="6" ref="E103:O103">ROUND(E104/E68,2)</f>
        <v>2005.19</v>
      </c>
      <c r="F103" s="200">
        <f t="shared" si="6"/>
        <v>2017.64</v>
      </c>
      <c r="G103" s="200">
        <f t="shared" si="6"/>
        <v>3622.93</v>
      </c>
      <c r="H103" s="200">
        <f t="shared" si="6"/>
        <v>1618.63</v>
      </c>
      <c r="I103" s="200">
        <f t="shared" si="6"/>
        <v>3014.26</v>
      </c>
      <c r="J103" s="200">
        <f t="shared" si="6"/>
        <v>988.12</v>
      </c>
      <c r="K103" s="200">
        <f t="shared" si="6"/>
        <v>1110.09</v>
      </c>
      <c r="L103" s="200">
        <f t="shared" si="6"/>
        <v>1924.62</v>
      </c>
      <c r="M103" s="200">
        <f t="shared" si="6"/>
        <v>3394.35</v>
      </c>
      <c r="N103" s="200">
        <f t="shared" si="6"/>
        <v>665.6</v>
      </c>
      <c r="O103" s="200">
        <f t="shared" si="6"/>
        <v>2445.02</v>
      </c>
      <c r="P103" s="394">
        <f t="shared" si="4"/>
        <v>23422.48</v>
      </c>
      <c r="Q103" s="394"/>
    </row>
    <row r="104" spans="1:17" ht="57.75" customHeight="1">
      <c r="A104" s="392"/>
      <c r="B104" s="393"/>
      <c r="C104" s="199" t="s">
        <v>240</v>
      </c>
      <c r="D104" s="201">
        <f>'вспомогательная таблица'!D23</f>
        <v>502684</v>
      </c>
      <c r="E104" s="201">
        <f>'вспомогательная таблица'!E23</f>
        <v>1636237.28</v>
      </c>
      <c r="F104" s="201">
        <f>'вспомогательная таблица'!F23</f>
        <v>1646396.28</v>
      </c>
      <c r="G104" s="379">
        <f>'вспомогательная таблица'!H23</f>
        <v>2956311.9511840004</v>
      </c>
      <c r="H104" s="379">
        <f>'вспомогательная таблица'!I23</f>
        <v>1320801.779416</v>
      </c>
      <c r="I104" s="379">
        <f>'вспомогательная таблица'!J23</f>
        <v>2459634.3718000003</v>
      </c>
      <c r="J104" s="201">
        <f>'вспомогательная таблица'!L23</f>
        <v>806305.1891640001</v>
      </c>
      <c r="K104" s="201">
        <f>'вспомогательная таблица'!M23</f>
        <v>905837.2376120001</v>
      </c>
      <c r="L104" s="201">
        <f>'вспомогательная таблица'!N23</f>
        <v>1570491.1244240003</v>
      </c>
      <c r="M104" s="201">
        <f>'вспомогательная таблица'!P23</f>
        <v>2769789.18734</v>
      </c>
      <c r="N104" s="201">
        <f>'вспомогательная таблица'!Q23</f>
        <v>543132.603556</v>
      </c>
      <c r="O104" s="201">
        <f>'вспомогательная таблица'!R23</f>
        <v>1995137.1</v>
      </c>
      <c r="P104" s="394">
        <f t="shared" si="4"/>
        <v>19112758.104496006</v>
      </c>
      <c r="Q104" s="394"/>
    </row>
    <row r="105" spans="1:17" ht="41.25" customHeight="1">
      <c r="A105" s="395" t="s">
        <v>408</v>
      </c>
      <c r="B105" s="395"/>
      <c r="C105" s="199" t="s">
        <v>239</v>
      </c>
      <c r="D105" s="200">
        <f>D106/D68</f>
        <v>569.5588235294117</v>
      </c>
      <c r="E105" s="200">
        <f aca="true" t="shared" si="7" ref="E105:O105">E106/E68</f>
        <v>1853.9138725490195</v>
      </c>
      <c r="F105" s="200">
        <f t="shared" si="7"/>
        <v>1853.9138725490195</v>
      </c>
      <c r="G105" s="200">
        <f t="shared" si="7"/>
        <v>3132.2892756078427</v>
      </c>
      <c r="H105" s="200">
        <f t="shared" si="7"/>
        <v>1496.5161979215684</v>
      </c>
      <c r="I105" s="200">
        <f t="shared" si="7"/>
        <v>2786.852486764705</v>
      </c>
      <c r="J105" s="200">
        <f t="shared" si="7"/>
        <v>913.5732916862745</v>
      </c>
      <c r="K105" s="200">
        <f t="shared" si="7"/>
        <v>1026.3452908431373</v>
      </c>
      <c r="L105" s="200">
        <f t="shared" si="7"/>
        <v>1767.9103988431375</v>
      </c>
      <c r="M105" s="200">
        <f t="shared" si="7"/>
        <v>3138.270601666666</v>
      </c>
      <c r="N105" s="200">
        <f t="shared" si="7"/>
        <v>615.3889677254901</v>
      </c>
      <c r="O105" s="200">
        <f t="shared" si="7"/>
        <v>4087.605269607843</v>
      </c>
      <c r="P105" s="394">
        <f t="shared" si="4"/>
        <v>23242.138349294113</v>
      </c>
      <c r="Q105" s="394"/>
    </row>
    <row r="106" spans="1:17" ht="54" customHeight="1">
      <c r="A106" s="395"/>
      <c r="B106" s="395"/>
      <c r="C106" s="199" t="s">
        <v>240</v>
      </c>
      <c r="D106" s="201">
        <f>'вспомогательная таблица'!D24</f>
        <v>464760</v>
      </c>
      <c r="E106" s="201">
        <f>'вспомогательная таблица'!E24</f>
        <v>1512793.72</v>
      </c>
      <c r="F106" s="201">
        <f>'вспомогательная таблица'!F24</f>
        <v>1512793.72</v>
      </c>
      <c r="G106" s="379">
        <f>'вспомогательная таблица'!H24</f>
        <v>2555948.048896</v>
      </c>
      <c r="H106" s="379">
        <f>'вспомогательная таблица'!I24</f>
        <v>1221157.2175039998</v>
      </c>
      <c r="I106" s="379">
        <f>'вспомогательная таблица'!J24</f>
        <v>2274071.6291999994</v>
      </c>
      <c r="J106" s="201">
        <f>'вспомогательная таблица'!L24</f>
        <v>745475.806016</v>
      </c>
      <c r="K106" s="201">
        <f>'вспомогательная таблица'!M24</f>
        <v>837497.7573279999</v>
      </c>
      <c r="L106" s="201">
        <f>'вспомогательная таблица'!N24</f>
        <v>1442614.8854560002</v>
      </c>
      <c r="M106" s="201">
        <f>'вспомогательная таблица'!P24</f>
        <v>2560828.8109599994</v>
      </c>
      <c r="N106" s="201">
        <f>'вспомогательная таблица'!Q24</f>
        <v>502157.39766399993</v>
      </c>
      <c r="O106" s="201">
        <f>'вспомогательная таблица'!R24</f>
        <v>3335485.9</v>
      </c>
      <c r="P106" s="394">
        <f t="shared" si="4"/>
        <v>18965584.893023998</v>
      </c>
      <c r="Q106" s="394"/>
    </row>
    <row r="107" spans="1:17" ht="77.25" customHeight="1">
      <c r="A107" s="395" t="s">
        <v>242</v>
      </c>
      <c r="B107" s="395"/>
      <c r="C107" s="203" t="s">
        <v>243</v>
      </c>
      <c r="D107" s="200">
        <f>D102+D100+D106+D104</f>
        <v>1312544</v>
      </c>
      <c r="E107" s="200">
        <f aca="true" t="shared" si="8" ref="E107:O107">E102+E100+E106+E104</f>
        <v>3518131</v>
      </c>
      <c r="F107" s="200">
        <f t="shared" si="8"/>
        <v>3717381</v>
      </c>
      <c r="G107" s="200">
        <f t="shared" si="8"/>
        <v>5706360.000080001</v>
      </c>
      <c r="H107" s="200">
        <f t="shared" si="8"/>
        <v>2849541.99692</v>
      </c>
      <c r="I107" s="200">
        <f t="shared" si="8"/>
        <v>4763096.001</v>
      </c>
      <c r="J107" s="200">
        <f t="shared" si="8"/>
        <v>1859363.99518</v>
      </c>
      <c r="K107" s="200">
        <f t="shared" si="8"/>
        <v>1772424.9949400001</v>
      </c>
      <c r="L107" s="200">
        <f t="shared" si="8"/>
        <v>3356572.0098800007</v>
      </c>
      <c r="M107" s="200">
        <f t="shared" si="8"/>
        <v>5682428.998299999</v>
      </c>
      <c r="N107" s="200">
        <f t="shared" si="8"/>
        <v>1377619.00122</v>
      </c>
      <c r="O107" s="200">
        <f t="shared" si="8"/>
        <v>6176321</v>
      </c>
      <c r="P107" s="394">
        <f t="shared" si="4"/>
        <v>42091783.99752001</v>
      </c>
      <c r="Q107" s="394"/>
    </row>
    <row r="108" ht="15.75" thickBot="1"/>
    <row r="109" spans="1:2" ht="21" customHeight="1">
      <c r="A109" s="196" t="s">
        <v>228</v>
      </c>
      <c r="B109" s="197" t="s">
        <v>229</v>
      </c>
    </row>
    <row r="112" spans="1:18" ht="29.25" customHeight="1">
      <c r="A112" s="419" t="s">
        <v>230</v>
      </c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</row>
    <row r="115" ht="15">
      <c r="B115" s="164" t="s">
        <v>244</v>
      </c>
    </row>
    <row r="117" spans="1:17" ht="15" customHeight="1">
      <c r="A117" s="447" t="s">
        <v>221</v>
      </c>
      <c r="B117" s="447"/>
      <c r="C117" s="447"/>
      <c r="D117" s="430" t="s">
        <v>238</v>
      </c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2"/>
      <c r="P117" s="464" t="s">
        <v>234</v>
      </c>
      <c r="Q117" s="465"/>
    </row>
    <row r="118" spans="1:17" ht="15">
      <c r="A118" s="447"/>
      <c r="B118" s="447"/>
      <c r="C118" s="447"/>
      <c r="D118" s="192">
        <v>1</v>
      </c>
      <c r="E118" s="192">
        <v>2</v>
      </c>
      <c r="F118" s="192">
        <v>3</v>
      </c>
      <c r="G118" s="192">
        <v>4</v>
      </c>
      <c r="H118" s="192">
        <v>5</v>
      </c>
      <c r="I118" s="192">
        <v>6</v>
      </c>
      <c r="J118" s="192">
        <v>7</v>
      </c>
      <c r="K118" s="192">
        <v>8</v>
      </c>
      <c r="L118" s="192">
        <v>9</v>
      </c>
      <c r="M118" s="192">
        <v>10</v>
      </c>
      <c r="N118" s="192">
        <v>11</v>
      </c>
      <c r="O118" s="192">
        <v>12</v>
      </c>
      <c r="P118" s="466"/>
      <c r="Q118" s="467"/>
    </row>
    <row r="119" spans="1:17" ht="94.5" customHeight="1">
      <c r="A119" s="408" t="s">
        <v>245</v>
      </c>
      <c r="B119" s="408"/>
      <c r="C119" s="409"/>
      <c r="D119" s="204">
        <f>D120</f>
        <v>122000</v>
      </c>
      <c r="E119" s="204">
        <f aca="true" t="shared" si="9" ref="E119:O119">E120</f>
        <v>220328</v>
      </c>
      <c r="F119" s="204">
        <f t="shared" si="9"/>
        <v>0</v>
      </c>
      <c r="G119" s="204">
        <f t="shared" si="9"/>
        <v>342328</v>
      </c>
      <c r="H119" s="204">
        <f t="shared" si="9"/>
        <v>0</v>
      </c>
      <c r="I119" s="204">
        <f t="shared" si="9"/>
        <v>0</v>
      </c>
      <c r="J119" s="204">
        <f t="shared" si="9"/>
        <v>344928</v>
      </c>
      <c r="K119" s="204">
        <f t="shared" si="9"/>
        <v>0</v>
      </c>
      <c r="L119" s="204">
        <f t="shared" si="9"/>
        <v>0</v>
      </c>
      <c r="M119" s="204">
        <f t="shared" si="9"/>
        <v>342329</v>
      </c>
      <c r="N119" s="204">
        <f t="shared" si="9"/>
        <v>0</v>
      </c>
      <c r="O119" s="204">
        <f t="shared" si="9"/>
        <v>0</v>
      </c>
      <c r="P119" s="438">
        <f>SUM(D119:O119)</f>
        <v>1371913</v>
      </c>
      <c r="Q119" s="439"/>
    </row>
    <row r="120" spans="1:17" ht="39.75" customHeight="1">
      <c r="A120" s="455" t="s">
        <v>241</v>
      </c>
      <c r="B120" s="456"/>
      <c r="C120" s="457"/>
      <c r="D120" s="205">
        <f>'вспомогательная таблица'!D27</f>
        <v>122000</v>
      </c>
      <c r="E120" s="205">
        <f>'вспомогательная таблица'!E27</f>
        <v>220328</v>
      </c>
      <c r="F120" s="205">
        <f>'вспомогательная таблица'!F27</f>
        <v>0</v>
      </c>
      <c r="G120" s="205">
        <f>'вспомогательная таблица'!H27</f>
        <v>342328</v>
      </c>
      <c r="H120" s="205">
        <f>'вспомогательная таблица'!I27</f>
        <v>0</v>
      </c>
      <c r="I120" s="205">
        <f>'вспомогательная таблица'!J27</f>
        <v>0</v>
      </c>
      <c r="J120" s="205">
        <f>'вспомогательная таблица'!L27</f>
        <v>344928</v>
      </c>
      <c r="K120" s="205">
        <f>'вспомогательная таблица'!M27</f>
        <v>0</v>
      </c>
      <c r="L120" s="205">
        <f>'вспомогательная таблица'!N27</f>
        <v>0</v>
      </c>
      <c r="M120" s="205">
        <f>'вспомогательная таблица'!P27</f>
        <v>342329</v>
      </c>
      <c r="N120" s="205">
        <f>'вспомогательная таблица'!Q27</f>
        <v>0</v>
      </c>
      <c r="O120" s="205">
        <f>'вспомогательная таблица'!R27</f>
        <v>0</v>
      </c>
      <c r="P120" s="438">
        <f>SUM(D120:O120)</f>
        <v>1371913</v>
      </c>
      <c r="Q120" s="439"/>
    </row>
    <row r="121" ht="15.75" thickBot="1"/>
    <row r="122" spans="1:2" ht="15">
      <c r="A122" s="196" t="s">
        <v>228</v>
      </c>
      <c r="B122" s="197" t="s">
        <v>229</v>
      </c>
    </row>
    <row r="124" spans="1:18" ht="33" customHeight="1">
      <c r="A124" s="419" t="s">
        <v>230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</row>
    <row r="127" ht="15">
      <c r="B127" s="164" t="s">
        <v>246</v>
      </c>
    </row>
    <row r="129" spans="1:17" ht="15" customHeight="1">
      <c r="A129" s="447" t="s">
        <v>247</v>
      </c>
      <c r="B129" s="447"/>
      <c r="C129" s="447"/>
      <c r="D129" s="430" t="s">
        <v>238</v>
      </c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2"/>
      <c r="P129" s="464" t="s">
        <v>234</v>
      </c>
      <c r="Q129" s="465"/>
    </row>
    <row r="130" spans="1:17" ht="15">
      <c r="A130" s="447"/>
      <c r="B130" s="447"/>
      <c r="C130" s="447"/>
      <c r="D130" s="192">
        <v>1</v>
      </c>
      <c r="E130" s="192">
        <v>2</v>
      </c>
      <c r="F130" s="192">
        <v>3</v>
      </c>
      <c r="G130" s="192">
        <v>4</v>
      </c>
      <c r="H130" s="192">
        <v>5</v>
      </c>
      <c r="I130" s="192">
        <v>6</v>
      </c>
      <c r="J130" s="192">
        <v>7</v>
      </c>
      <c r="K130" s="192">
        <v>8</v>
      </c>
      <c r="L130" s="192">
        <v>9</v>
      </c>
      <c r="M130" s="192">
        <v>10</v>
      </c>
      <c r="N130" s="192">
        <v>11</v>
      </c>
      <c r="O130" s="192">
        <v>12</v>
      </c>
      <c r="P130" s="466"/>
      <c r="Q130" s="467"/>
    </row>
    <row r="131" spans="1:17" ht="84.75" customHeight="1">
      <c r="A131" s="459" t="s">
        <v>245</v>
      </c>
      <c r="B131" s="459"/>
      <c r="C131" s="460"/>
      <c r="D131" s="206">
        <f>SUM(D132:D144)</f>
        <v>200000</v>
      </c>
      <c r="E131" s="206">
        <f aca="true" t="shared" si="10" ref="E131:O131">SUM(E132:E144)</f>
        <v>162026</v>
      </c>
      <c r="F131" s="206">
        <f t="shared" si="10"/>
        <v>0</v>
      </c>
      <c r="G131" s="206">
        <f t="shared" si="10"/>
        <v>287351</v>
      </c>
      <c r="H131" s="206">
        <f t="shared" si="10"/>
        <v>200000</v>
      </c>
      <c r="I131" s="206">
        <f t="shared" si="10"/>
        <v>0</v>
      </c>
      <c r="J131" s="206">
        <f t="shared" si="10"/>
        <v>200000</v>
      </c>
      <c r="K131" s="206">
        <f t="shared" si="10"/>
        <v>2947750</v>
      </c>
      <c r="L131" s="206">
        <f>SUM(L132:L144)</f>
        <v>261390</v>
      </c>
      <c r="M131" s="206">
        <f t="shared" si="10"/>
        <v>500000</v>
      </c>
      <c r="N131" s="206">
        <f t="shared" si="10"/>
        <v>500000</v>
      </c>
      <c r="O131" s="206">
        <f t="shared" si="10"/>
        <v>469915.38</v>
      </c>
      <c r="P131" s="461">
        <f>SUM(D131:O131)</f>
        <v>5728432.38</v>
      </c>
      <c r="Q131" s="462"/>
    </row>
    <row r="132" spans="1:17" ht="117.75" customHeight="1">
      <c r="A132" s="458" t="s">
        <v>418</v>
      </c>
      <c r="B132" s="459"/>
      <c r="C132" s="460"/>
      <c r="D132" s="206">
        <v>200000</v>
      </c>
      <c r="E132" s="206">
        <v>162026</v>
      </c>
      <c r="F132" s="206"/>
      <c r="G132" s="206">
        <v>287351</v>
      </c>
      <c r="H132" s="206">
        <v>200000</v>
      </c>
      <c r="I132" s="206"/>
      <c r="J132" s="206">
        <v>200000</v>
      </c>
      <c r="K132" s="206">
        <v>200000</v>
      </c>
      <c r="L132" s="206">
        <v>261390</v>
      </c>
      <c r="M132" s="206">
        <v>500000</v>
      </c>
      <c r="N132" s="206">
        <v>500000</v>
      </c>
      <c r="O132" s="206">
        <v>469915.38</v>
      </c>
      <c r="P132" s="461">
        <f aca="true" t="shared" si="11" ref="P132:P137">SUM(D132:O132)</f>
        <v>2980682.38</v>
      </c>
      <c r="Q132" s="462"/>
    </row>
    <row r="133" spans="1:17" ht="82.5" customHeight="1">
      <c r="A133" s="458" t="s">
        <v>419</v>
      </c>
      <c r="B133" s="459"/>
      <c r="C133" s="460"/>
      <c r="D133" s="206"/>
      <c r="E133" s="206"/>
      <c r="F133" s="206"/>
      <c r="G133" s="206"/>
      <c r="H133" s="206"/>
      <c r="I133" s="206"/>
      <c r="J133" s="206"/>
      <c r="K133" s="206">
        <v>2747750</v>
      </c>
      <c r="L133" s="206"/>
      <c r="M133" s="206"/>
      <c r="N133" s="206"/>
      <c r="O133" s="206"/>
      <c r="P133" s="461">
        <f t="shared" si="11"/>
        <v>2747750</v>
      </c>
      <c r="Q133" s="462"/>
    </row>
    <row r="134" spans="1:17" ht="36.75" customHeight="1" hidden="1">
      <c r="A134" s="458"/>
      <c r="B134" s="459"/>
      <c r="C134" s="460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461">
        <f t="shared" si="11"/>
        <v>0</v>
      </c>
      <c r="Q134" s="462"/>
    </row>
    <row r="135" spans="1:17" ht="112.5" customHeight="1" hidden="1">
      <c r="A135" s="458"/>
      <c r="B135" s="459"/>
      <c r="C135" s="460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461">
        <f t="shared" si="11"/>
        <v>0</v>
      </c>
      <c r="Q135" s="462"/>
    </row>
    <row r="136" spans="1:17" ht="39.75" customHeight="1" hidden="1">
      <c r="A136" s="458"/>
      <c r="B136" s="459"/>
      <c r="C136" s="460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461">
        <f t="shared" si="11"/>
        <v>0</v>
      </c>
      <c r="Q136" s="462"/>
    </row>
    <row r="137" spans="1:17" ht="36" customHeight="1" hidden="1">
      <c r="A137" s="458"/>
      <c r="B137" s="459"/>
      <c r="C137" s="460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461">
        <f t="shared" si="11"/>
        <v>0</v>
      </c>
      <c r="Q137" s="462"/>
    </row>
    <row r="138" spans="1:17" ht="49.5" customHeight="1" hidden="1">
      <c r="A138" s="458"/>
      <c r="B138" s="459"/>
      <c r="C138" s="460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461">
        <f aca="true" t="shared" si="12" ref="P138:P144">SUM(D138:O138)</f>
        <v>0</v>
      </c>
      <c r="Q138" s="462"/>
    </row>
    <row r="139" spans="1:17" ht="101.25" customHeight="1" hidden="1">
      <c r="A139" s="458"/>
      <c r="B139" s="459"/>
      <c r="C139" s="460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461">
        <f t="shared" si="12"/>
        <v>0</v>
      </c>
      <c r="Q139" s="462"/>
    </row>
    <row r="140" spans="1:17" ht="44.25" customHeight="1" hidden="1">
      <c r="A140" s="458"/>
      <c r="B140" s="459"/>
      <c r="C140" s="460"/>
      <c r="D140" s="206"/>
      <c r="E140" s="206"/>
      <c r="F140" s="206"/>
      <c r="G140" s="204"/>
      <c r="H140" s="204"/>
      <c r="I140" s="204"/>
      <c r="J140" s="204"/>
      <c r="K140" s="204"/>
      <c r="L140" s="204"/>
      <c r="M140" s="204"/>
      <c r="N140" s="204"/>
      <c r="O140" s="204"/>
      <c r="P140" s="461">
        <f t="shared" si="12"/>
        <v>0</v>
      </c>
      <c r="Q140" s="462"/>
    </row>
    <row r="141" spans="1:17" ht="27.75" customHeight="1" hidden="1">
      <c r="A141" s="443"/>
      <c r="B141" s="463"/>
      <c r="C141" s="444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438">
        <f t="shared" si="12"/>
        <v>0</v>
      </c>
      <c r="Q141" s="439"/>
    </row>
    <row r="142" spans="1:17" ht="27.75" customHeight="1" hidden="1">
      <c r="A142" s="443"/>
      <c r="B142" s="463"/>
      <c r="C142" s="444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438">
        <f t="shared" si="12"/>
        <v>0</v>
      </c>
      <c r="Q142" s="439"/>
    </row>
    <row r="143" spans="1:17" ht="15">
      <c r="A143" s="455" t="s">
        <v>254</v>
      </c>
      <c r="B143" s="456"/>
      <c r="C143" s="457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438">
        <f t="shared" si="12"/>
        <v>0</v>
      </c>
      <c r="Q143" s="439"/>
    </row>
    <row r="144" spans="1:17" ht="28.5" customHeight="1">
      <c r="A144" s="455"/>
      <c r="B144" s="456"/>
      <c r="C144" s="457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438">
        <f t="shared" si="12"/>
        <v>0</v>
      </c>
      <c r="Q144" s="439"/>
    </row>
    <row r="145" ht="15.75" thickBot="1"/>
    <row r="146" spans="1:2" ht="15">
      <c r="A146" s="196" t="s">
        <v>228</v>
      </c>
      <c r="B146" s="197" t="s">
        <v>229</v>
      </c>
    </row>
    <row r="148" spans="1:18" ht="29.25" customHeight="1">
      <c r="A148" s="419" t="s">
        <v>230</v>
      </c>
      <c r="B148" s="419"/>
      <c r="C148" s="419"/>
      <c r="D148" s="419"/>
      <c r="E148" s="419"/>
      <c r="F148" s="419"/>
      <c r="G148" s="419"/>
      <c r="H148" s="419"/>
      <c r="I148" s="419"/>
      <c r="J148" s="419"/>
      <c r="K148" s="419"/>
      <c r="L148" s="419"/>
      <c r="M148" s="419"/>
      <c r="N148" s="419"/>
      <c r="O148" s="419"/>
      <c r="P148" s="419"/>
      <c r="Q148" s="419"/>
      <c r="R148" s="419"/>
    </row>
    <row r="151" ht="15">
      <c r="B151" s="164" t="s">
        <v>255</v>
      </c>
    </row>
    <row r="153" ht="15">
      <c r="B153" s="164" t="s">
        <v>256</v>
      </c>
    </row>
    <row r="155" spans="1:18" ht="42.75" customHeight="1">
      <c r="A155" s="207" t="s">
        <v>257</v>
      </c>
      <c r="B155" s="447" t="s">
        <v>258</v>
      </c>
      <c r="C155" s="447"/>
      <c r="D155" s="430" t="s">
        <v>259</v>
      </c>
      <c r="E155" s="431"/>
      <c r="F155" s="447" t="s">
        <v>260</v>
      </c>
      <c r="G155" s="447"/>
      <c r="H155" s="447"/>
      <c r="I155" s="447"/>
      <c r="J155" s="447"/>
      <c r="K155" s="447"/>
      <c r="L155" s="447"/>
      <c r="M155" s="447"/>
      <c r="N155" s="431" t="s">
        <v>261</v>
      </c>
      <c r="O155" s="431"/>
      <c r="P155" s="431"/>
      <c r="Q155" s="431"/>
      <c r="R155" s="432"/>
    </row>
    <row r="156" spans="1:18" ht="27.75" customHeight="1">
      <c r="A156" s="450" t="s">
        <v>262</v>
      </c>
      <c r="B156" s="451"/>
      <c r="C156" s="451"/>
      <c r="D156" s="451"/>
      <c r="E156" s="452"/>
      <c r="F156" s="453" t="s">
        <v>263</v>
      </c>
      <c r="G156" s="454"/>
      <c r="H156" s="453" t="s">
        <v>264</v>
      </c>
      <c r="I156" s="454"/>
      <c r="J156" s="453" t="s">
        <v>265</v>
      </c>
      <c r="K156" s="454"/>
      <c r="L156" s="453" t="s">
        <v>266</v>
      </c>
      <c r="M156" s="454"/>
      <c r="N156" s="453" t="s">
        <v>263</v>
      </c>
      <c r="O156" s="454"/>
      <c r="P156" s="208" t="s">
        <v>264</v>
      </c>
      <c r="Q156" s="208" t="s">
        <v>265</v>
      </c>
      <c r="R156" s="192" t="s">
        <v>266</v>
      </c>
    </row>
    <row r="157" spans="1:18" ht="58.5" customHeight="1">
      <c r="A157" s="209">
        <v>1</v>
      </c>
      <c r="B157" s="445" t="s">
        <v>267</v>
      </c>
      <c r="C157" s="446"/>
      <c r="D157" s="447"/>
      <c r="E157" s="447"/>
      <c r="F157" s="448" t="s">
        <v>268</v>
      </c>
      <c r="G157" s="449"/>
      <c r="H157" s="448" t="s">
        <v>268</v>
      </c>
      <c r="I157" s="449"/>
      <c r="J157" s="448" t="s">
        <v>268</v>
      </c>
      <c r="K157" s="449"/>
      <c r="L157" s="448" t="s">
        <v>268</v>
      </c>
      <c r="M157" s="449"/>
      <c r="N157" s="431"/>
      <c r="O157" s="432"/>
      <c r="P157" s="208"/>
      <c r="Q157" s="208"/>
      <c r="R157" s="192"/>
    </row>
    <row r="158" spans="1:18" ht="30" customHeight="1">
      <c r="A158" s="210">
        <v>2</v>
      </c>
      <c r="B158" s="437" t="s">
        <v>269</v>
      </c>
      <c r="C158" s="437"/>
      <c r="D158" s="443"/>
      <c r="E158" s="444"/>
      <c r="F158" s="434" t="s">
        <v>270</v>
      </c>
      <c r="G158" s="435"/>
      <c r="H158" s="434" t="s">
        <v>270</v>
      </c>
      <c r="I158" s="435"/>
      <c r="J158" s="434" t="s">
        <v>270</v>
      </c>
      <c r="K158" s="435"/>
      <c r="L158" s="434" t="s">
        <v>270</v>
      </c>
      <c r="M158" s="435"/>
      <c r="N158" s="436"/>
      <c r="O158" s="436"/>
      <c r="P158" s="210"/>
      <c r="Q158" s="210"/>
      <c r="R158" s="211"/>
    </row>
    <row r="159" spans="1:18" ht="49.5" customHeight="1">
      <c r="A159" s="210">
        <v>3</v>
      </c>
      <c r="B159" s="437" t="s">
        <v>271</v>
      </c>
      <c r="C159" s="437"/>
      <c r="D159" s="438"/>
      <c r="E159" s="439"/>
      <c r="F159" s="440" t="s">
        <v>272</v>
      </c>
      <c r="G159" s="441"/>
      <c r="H159" s="440" t="s">
        <v>272</v>
      </c>
      <c r="I159" s="441"/>
      <c r="J159" s="440" t="s">
        <v>272</v>
      </c>
      <c r="K159" s="441"/>
      <c r="L159" s="440" t="s">
        <v>272</v>
      </c>
      <c r="M159" s="441"/>
      <c r="N159" s="442"/>
      <c r="O159" s="442"/>
      <c r="P159" s="195"/>
      <c r="Q159" s="195"/>
      <c r="R159" s="212"/>
    </row>
    <row r="160" spans="1:18" ht="96" customHeight="1">
      <c r="A160" s="212">
        <v>4</v>
      </c>
      <c r="B160" s="407" t="s">
        <v>273</v>
      </c>
      <c r="C160" s="409"/>
      <c r="D160" s="416"/>
      <c r="E160" s="418"/>
      <c r="F160" s="434" t="s">
        <v>274</v>
      </c>
      <c r="G160" s="435"/>
      <c r="H160" s="434" t="s">
        <v>274</v>
      </c>
      <c r="I160" s="435"/>
      <c r="J160" s="434" t="s">
        <v>274</v>
      </c>
      <c r="K160" s="435"/>
      <c r="L160" s="434" t="s">
        <v>274</v>
      </c>
      <c r="M160" s="435"/>
      <c r="N160" s="416"/>
      <c r="O160" s="418"/>
      <c r="P160" s="212"/>
      <c r="Q160" s="212"/>
      <c r="R160" s="212"/>
    </row>
    <row r="163" spans="1:18" ht="30.75" customHeight="1">
      <c r="A163" s="419" t="s">
        <v>230</v>
      </c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419"/>
      <c r="Q163" s="419"/>
      <c r="R163" s="419"/>
    </row>
    <row r="166" ht="15">
      <c r="B166" s="164" t="s">
        <v>275</v>
      </c>
    </row>
    <row r="168" spans="1:18" ht="26.25" customHeight="1">
      <c r="A168" s="207" t="s">
        <v>257</v>
      </c>
      <c r="B168" s="430" t="s">
        <v>258</v>
      </c>
      <c r="C168" s="431"/>
      <c r="D168" s="432"/>
      <c r="E168" s="430" t="s">
        <v>259</v>
      </c>
      <c r="F168" s="431"/>
      <c r="G168" s="431"/>
      <c r="H168" s="432"/>
      <c r="I168" s="433" t="s">
        <v>260</v>
      </c>
      <c r="J168" s="433"/>
      <c r="K168" s="433"/>
      <c r="L168" s="433"/>
      <c r="M168" s="433"/>
      <c r="N168" s="433" t="s">
        <v>261</v>
      </c>
      <c r="O168" s="433"/>
      <c r="P168" s="433"/>
      <c r="Q168" s="433"/>
      <c r="R168" s="213"/>
    </row>
    <row r="169" spans="1:17" ht="27" customHeight="1">
      <c r="A169" s="212">
        <v>1</v>
      </c>
      <c r="B169" s="407" t="s">
        <v>276</v>
      </c>
      <c r="C169" s="408"/>
      <c r="D169" s="409"/>
      <c r="E169" s="416"/>
      <c r="F169" s="417"/>
      <c r="G169" s="417"/>
      <c r="H169" s="418"/>
      <c r="I169" s="416" t="s">
        <v>277</v>
      </c>
      <c r="J169" s="417"/>
      <c r="K169" s="417"/>
      <c r="L169" s="417"/>
      <c r="M169" s="418"/>
      <c r="N169" s="416"/>
      <c r="O169" s="417"/>
      <c r="P169" s="417"/>
      <c r="Q169" s="418"/>
    </row>
    <row r="170" spans="1:17" ht="39.75" customHeight="1">
      <c r="A170" s="212">
        <v>2</v>
      </c>
      <c r="B170" s="407" t="s">
        <v>278</v>
      </c>
      <c r="C170" s="408"/>
      <c r="D170" s="409"/>
      <c r="E170" s="416"/>
      <c r="F170" s="417"/>
      <c r="G170" s="417"/>
      <c r="H170" s="418"/>
      <c r="I170" s="416" t="s">
        <v>279</v>
      </c>
      <c r="J170" s="417"/>
      <c r="K170" s="417"/>
      <c r="L170" s="417"/>
      <c r="M170" s="418"/>
      <c r="N170" s="416"/>
      <c r="O170" s="417"/>
      <c r="P170" s="417"/>
      <c r="Q170" s="418"/>
    </row>
    <row r="171" spans="1:17" ht="36" customHeight="1">
      <c r="A171" s="212">
        <v>3</v>
      </c>
      <c r="B171" s="407" t="s">
        <v>280</v>
      </c>
      <c r="C171" s="408"/>
      <c r="D171" s="409"/>
      <c r="E171" s="416"/>
      <c r="F171" s="417"/>
      <c r="G171" s="417"/>
      <c r="H171" s="418"/>
      <c r="I171" s="416" t="s">
        <v>281</v>
      </c>
      <c r="J171" s="417"/>
      <c r="K171" s="417"/>
      <c r="L171" s="417"/>
      <c r="M171" s="418"/>
      <c r="N171" s="416"/>
      <c r="O171" s="417"/>
      <c r="P171" s="417"/>
      <c r="Q171" s="418"/>
    </row>
    <row r="172" spans="1:17" ht="34.5" customHeight="1">
      <c r="A172" s="212">
        <v>4</v>
      </c>
      <c r="B172" s="407" t="s">
        <v>282</v>
      </c>
      <c r="C172" s="408"/>
      <c r="D172" s="409"/>
      <c r="E172" s="416"/>
      <c r="F172" s="417"/>
      <c r="G172" s="417"/>
      <c r="H172" s="418"/>
      <c r="I172" s="416" t="s">
        <v>277</v>
      </c>
      <c r="J172" s="417"/>
      <c r="K172" s="417"/>
      <c r="L172" s="417"/>
      <c r="M172" s="418"/>
      <c r="N172" s="416"/>
      <c r="O172" s="417"/>
      <c r="P172" s="417"/>
      <c r="Q172" s="418"/>
    </row>
    <row r="173" ht="15.75" thickBot="1"/>
    <row r="174" spans="1:2" ht="15">
      <c r="A174" s="196" t="s">
        <v>283</v>
      </c>
      <c r="B174" s="197" t="s">
        <v>284</v>
      </c>
    </row>
    <row r="176" spans="1:18" ht="30.75" customHeight="1">
      <c r="A176" s="419" t="s">
        <v>230</v>
      </c>
      <c r="B176" s="419"/>
      <c r="C176" s="419"/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</row>
    <row r="179" ht="15">
      <c r="B179" s="164" t="s">
        <v>285</v>
      </c>
    </row>
    <row r="181" spans="1:17" ht="30" customHeight="1">
      <c r="A181" s="208" t="s">
        <v>257</v>
      </c>
      <c r="B181" s="420" t="s">
        <v>286</v>
      </c>
      <c r="C181" s="421"/>
      <c r="D181" s="422"/>
      <c r="E181" s="423" t="s">
        <v>287</v>
      </c>
      <c r="F181" s="424"/>
      <c r="G181" s="424"/>
      <c r="H181" s="425"/>
      <c r="I181" s="426" t="s">
        <v>288</v>
      </c>
      <c r="J181" s="426"/>
      <c r="K181" s="426"/>
      <c r="L181" s="426"/>
      <c r="M181" s="426"/>
      <c r="N181" s="426" t="s">
        <v>289</v>
      </c>
      <c r="O181" s="426"/>
      <c r="P181" s="426"/>
      <c r="Q181" s="426"/>
    </row>
    <row r="182" spans="1:17" ht="70.5" customHeight="1">
      <c r="A182" s="212">
        <v>1</v>
      </c>
      <c r="B182" s="407" t="s">
        <v>290</v>
      </c>
      <c r="C182" s="408"/>
      <c r="D182" s="409"/>
      <c r="E182" s="416">
        <v>2014</v>
      </c>
      <c r="F182" s="417"/>
      <c r="G182" s="417"/>
      <c r="H182" s="418"/>
      <c r="I182" s="427">
        <f>P86+P131</f>
        <v>49192129.37752001</v>
      </c>
      <c r="J182" s="428"/>
      <c r="K182" s="428"/>
      <c r="L182" s="428"/>
      <c r="M182" s="429"/>
      <c r="N182" s="416">
        <f>P68</f>
        <v>816</v>
      </c>
      <c r="O182" s="417"/>
      <c r="P182" s="417"/>
      <c r="Q182" s="418"/>
    </row>
    <row r="183" spans="1:17" ht="15" customHeight="1" hidden="1">
      <c r="A183" s="212"/>
      <c r="B183" s="416"/>
      <c r="C183" s="417"/>
      <c r="D183" s="418"/>
      <c r="E183" s="416"/>
      <c r="F183" s="417"/>
      <c r="G183" s="417"/>
      <c r="H183" s="418"/>
      <c r="I183" s="416"/>
      <c r="J183" s="417"/>
      <c r="K183" s="417"/>
      <c r="L183" s="417"/>
      <c r="M183" s="418"/>
      <c r="N183" s="416"/>
      <c r="O183" s="417"/>
      <c r="P183" s="417"/>
      <c r="Q183" s="418"/>
    </row>
    <row r="184" spans="1:17" ht="15" customHeight="1" hidden="1">
      <c r="A184" s="212"/>
      <c r="B184" s="416"/>
      <c r="C184" s="417"/>
      <c r="D184" s="418"/>
      <c r="E184" s="416"/>
      <c r="F184" s="417"/>
      <c r="G184" s="417"/>
      <c r="H184" s="418"/>
      <c r="I184" s="416"/>
      <c r="J184" s="417"/>
      <c r="K184" s="417"/>
      <c r="L184" s="417"/>
      <c r="M184" s="418"/>
      <c r="N184" s="416"/>
      <c r="O184" s="417"/>
      <c r="P184" s="417"/>
      <c r="Q184" s="418"/>
    </row>
    <row r="185" ht="15.75" thickBot="1"/>
    <row r="186" spans="1:18" ht="15" customHeight="1">
      <c r="A186" s="214" t="s">
        <v>291</v>
      </c>
      <c r="B186" s="215" t="s">
        <v>292</v>
      </c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</row>
    <row r="187" ht="13.5" customHeight="1">
      <c r="A187" s="164" t="s">
        <v>293</v>
      </c>
    </row>
    <row r="188" ht="14.25" customHeight="1">
      <c r="A188" s="164" t="s">
        <v>294</v>
      </c>
    </row>
    <row r="191" ht="15">
      <c r="B191" s="164" t="s">
        <v>295</v>
      </c>
    </row>
    <row r="193" spans="1:18" ht="61.5" customHeight="1">
      <c r="A193" s="401" t="s">
        <v>296</v>
      </c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3"/>
      <c r="R193" s="217"/>
    </row>
    <row r="196" ht="15">
      <c r="B196" s="164" t="s">
        <v>297</v>
      </c>
    </row>
    <row r="198" spans="1:17" ht="15">
      <c r="A198" s="404">
        <f>P86/P68</f>
        <v>53264.33455578432</v>
      </c>
      <c r="B198" s="405"/>
      <c r="C198" s="405"/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6"/>
    </row>
    <row r="201" ht="15">
      <c r="B201" s="164" t="s">
        <v>298</v>
      </c>
    </row>
    <row r="203" spans="1:17" ht="30.75" customHeight="1">
      <c r="A203" s="401" t="s">
        <v>299</v>
      </c>
      <c r="B203" s="402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3"/>
    </row>
    <row r="206" ht="15">
      <c r="B206" s="164" t="s">
        <v>300</v>
      </c>
    </row>
    <row r="207" ht="9" customHeight="1"/>
    <row r="208" spans="1:17" ht="86.25" customHeight="1">
      <c r="A208" s="407" t="s">
        <v>301</v>
      </c>
      <c r="B208" s="408"/>
      <c r="C208" s="408"/>
      <c r="D208" s="408"/>
      <c r="E208" s="408"/>
      <c r="F208" s="408"/>
      <c r="G208" s="408"/>
      <c r="H208" s="408"/>
      <c r="I208" s="408"/>
      <c r="J208" s="408"/>
      <c r="K208" s="408"/>
      <c r="L208" s="408"/>
      <c r="M208" s="408"/>
      <c r="N208" s="408"/>
      <c r="O208" s="408"/>
      <c r="P208" s="408"/>
      <c r="Q208" s="409"/>
    </row>
    <row r="209" spans="1:17" ht="15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</row>
    <row r="210" spans="1:17" ht="15">
      <c r="A210" s="218"/>
      <c r="B210" s="218" t="s">
        <v>302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</row>
    <row r="211" spans="1:17" ht="15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</row>
    <row r="212" spans="1:17" ht="35.25" customHeight="1">
      <c r="A212" s="410" t="s">
        <v>303</v>
      </c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2"/>
    </row>
    <row r="213" spans="1:17" ht="15">
      <c r="A213" s="219" t="s">
        <v>304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1"/>
    </row>
    <row r="214" spans="1:17" ht="24.75" customHeight="1">
      <c r="A214" s="413" t="s">
        <v>305</v>
      </c>
      <c r="B214" s="414"/>
      <c r="C214" s="414"/>
      <c r="D214" s="414"/>
      <c r="E214" s="414"/>
      <c r="F214" s="414"/>
      <c r="G214" s="414"/>
      <c r="H214" s="414"/>
      <c r="I214" s="414"/>
      <c r="J214" s="414"/>
      <c r="K214" s="414"/>
      <c r="L214" s="414"/>
      <c r="M214" s="414"/>
      <c r="N214" s="414"/>
      <c r="O214" s="414"/>
      <c r="P214" s="414"/>
      <c r="Q214" s="415"/>
    </row>
    <row r="215" spans="1:17" ht="15">
      <c r="A215" s="396" t="s">
        <v>306</v>
      </c>
      <c r="B215" s="397"/>
      <c r="C215" s="397"/>
      <c r="D215" s="397"/>
      <c r="E215" s="397"/>
      <c r="F215" s="397"/>
      <c r="G215" s="397"/>
      <c r="H215" s="397"/>
      <c r="I215" s="397"/>
      <c r="J215" s="397"/>
      <c r="K215" s="397"/>
      <c r="L215" s="397"/>
      <c r="M215" s="397"/>
      <c r="N215" s="397"/>
      <c r="O215" s="397"/>
      <c r="P215" s="397"/>
      <c r="Q215" s="398"/>
    </row>
    <row r="216" spans="1:17" ht="15">
      <c r="A216" s="222" t="s">
        <v>307</v>
      </c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4"/>
    </row>
    <row r="217" spans="1:17" ht="15">
      <c r="A217" s="225" t="s">
        <v>308</v>
      </c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7"/>
    </row>
    <row r="219" spans="2:14" ht="15">
      <c r="B219" s="399" t="s">
        <v>309</v>
      </c>
      <c r="C219" s="399"/>
      <c r="D219" s="399"/>
      <c r="E219" s="399"/>
      <c r="I219" s="226"/>
      <c r="J219" s="226"/>
      <c r="K219" s="400"/>
      <c r="L219" s="400"/>
      <c r="M219" s="400"/>
      <c r="N219" s="164" t="s">
        <v>430</v>
      </c>
    </row>
    <row r="221" spans="2:8" ht="15">
      <c r="B221" s="164" t="s">
        <v>311</v>
      </c>
      <c r="C221" s="226"/>
      <c r="E221" s="228" t="s">
        <v>312</v>
      </c>
      <c r="F221" s="226"/>
      <c r="G221" s="226"/>
      <c r="H221" s="226"/>
    </row>
    <row r="224" spans="2:14" ht="15">
      <c r="B224" s="399" t="s">
        <v>423</v>
      </c>
      <c r="C224" s="399"/>
      <c r="D224" s="399"/>
      <c r="E224" s="399"/>
      <c r="I224" s="226"/>
      <c r="J224" s="226"/>
      <c r="K224" s="400"/>
      <c r="L224" s="400"/>
      <c r="M224" s="400"/>
      <c r="N224" s="164" t="s">
        <v>431</v>
      </c>
    </row>
    <row r="226" spans="2:8" ht="15">
      <c r="B226" s="164" t="s">
        <v>311</v>
      </c>
      <c r="C226" s="363">
        <v>41653</v>
      </c>
      <c r="E226" s="228" t="s">
        <v>312</v>
      </c>
      <c r="F226" s="226"/>
      <c r="G226" s="226"/>
      <c r="H226" s="226"/>
    </row>
  </sheetData>
  <sheetProtection/>
  <mergeCells count="246">
    <mergeCell ref="A12:R12"/>
    <mergeCell ref="A13:R13"/>
    <mergeCell ref="A14:R14"/>
    <mergeCell ref="H17:Q17"/>
    <mergeCell ref="D21:E21"/>
    <mergeCell ref="F21:G21"/>
    <mergeCell ref="H21:I21"/>
    <mergeCell ref="J21:K21"/>
    <mergeCell ref="L21:M21"/>
    <mergeCell ref="N21:O21"/>
    <mergeCell ref="Q21:R21"/>
    <mergeCell ref="A22:A34"/>
    <mergeCell ref="B22:B34"/>
    <mergeCell ref="C22:C34"/>
    <mergeCell ref="D22:E34"/>
    <mergeCell ref="F22:G34"/>
    <mergeCell ref="H22:I34"/>
    <mergeCell ref="J22:K34"/>
    <mergeCell ref="L22:M34"/>
    <mergeCell ref="N22:O34"/>
    <mergeCell ref="P22:P34"/>
    <mergeCell ref="Q22:R34"/>
    <mergeCell ref="A38:B40"/>
    <mergeCell ref="C38:C40"/>
    <mergeCell ref="D38:R38"/>
    <mergeCell ref="D39:I39"/>
    <mergeCell ref="J39:O39"/>
    <mergeCell ref="P39:R39"/>
    <mergeCell ref="D40:E40"/>
    <mergeCell ref="F40:G40"/>
    <mergeCell ref="H40:I40"/>
    <mergeCell ref="J40:K40"/>
    <mergeCell ref="L40:M40"/>
    <mergeCell ref="N40:O40"/>
    <mergeCell ref="A41:B62"/>
    <mergeCell ref="C41:C62"/>
    <mergeCell ref="D41:E41"/>
    <mergeCell ref="F41:G41"/>
    <mergeCell ref="H41:I41"/>
    <mergeCell ref="J41:K41"/>
    <mergeCell ref="L41:M41"/>
    <mergeCell ref="N41:O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A66:C67"/>
    <mergeCell ref="D66:O66"/>
    <mergeCell ref="P66:Q67"/>
    <mergeCell ref="A68:C68"/>
    <mergeCell ref="P68:Q68"/>
    <mergeCell ref="A69:C69"/>
    <mergeCell ref="P69:Q69"/>
    <mergeCell ref="A70:C70"/>
    <mergeCell ref="P70:Q70"/>
    <mergeCell ref="A71:C71"/>
    <mergeCell ref="P71:Q71"/>
    <mergeCell ref="A77:R77"/>
    <mergeCell ref="A84:C85"/>
    <mergeCell ref="D84:O84"/>
    <mergeCell ref="P84:Q85"/>
    <mergeCell ref="A86:C86"/>
    <mergeCell ref="P86:Q86"/>
    <mergeCell ref="A91:R91"/>
    <mergeCell ref="A97:B98"/>
    <mergeCell ref="C97:C98"/>
    <mergeCell ref="D97:O97"/>
    <mergeCell ref="P97:Q98"/>
    <mergeCell ref="A103:B104"/>
    <mergeCell ref="P103:Q103"/>
    <mergeCell ref="P104:Q104"/>
    <mergeCell ref="A105:B106"/>
    <mergeCell ref="P105:Q105"/>
    <mergeCell ref="P106:Q106"/>
    <mergeCell ref="A107:B107"/>
    <mergeCell ref="P107:Q107"/>
    <mergeCell ref="A112:R112"/>
    <mergeCell ref="A117:C118"/>
    <mergeCell ref="D117:O117"/>
    <mergeCell ref="P117:Q118"/>
    <mergeCell ref="A119:C119"/>
    <mergeCell ref="P119:Q119"/>
    <mergeCell ref="A120:C120"/>
    <mergeCell ref="P120:Q120"/>
    <mergeCell ref="A124:R124"/>
    <mergeCell ref="A129:C130"/>
    <mergeCell ref="D129:O129"/>
    <mergeCell ref="P129:Q130"/>
    <mergeCell ref="A131:C131"/>
    <mergeCell ref="P131:Q131"/>
    <mergeCell ref="A132:C132"/>
    <mergeCell ref="P132:Q132"/>
    <mergeCell ref="A133:C133"/>
    <mergeCell ref="P133:Q133"/>
    <mergeCell ref="A134:C134"/>
    <mergeCell ref="P134:Q134"/>
    <mergeCell ref="A135:C135"/>
    <mergeCell ref="P135:Q135"/>
    <mergeCell ref="A136:C136"/>
    <mergeCell ref="P136:Q136"/>
    <mergeCell ref="A137:C137"/>
    <mergeCell ref="P137:Q137"/>
    <mergeCell ref="A138:C138"/>
    <mergeCell ref="P138:Q138"/>
    <mergeCell ref="A139:C139"/>
    <mergeCell ref="P139:Q139"/>
    <mergeCell ref="A140:C140"/>
    <mergeCell ref="P140:Q140"/>
    <mergeCell ref="A141:C141"/>
    <mergeCell ref="A142:C142"/>
    <mergeCell ref="A143:C143"/>
    <mergeCell ref="P143:Q143"/>
    <mergeCell ref="N156:O156"/>
    <mergeCell ref="A144:C144"/>
    <mergeCell ref="P144:Q144"/>
    <mergeCell ref="P141:Q141"/>
    <mergeCell ref="P142:Q142"/>
    <mergeCell ref="A148:R148"/>
    <mergeCell ref="B155:C155"/>
    <mergeCell ref="D155:E155"/>
    <mergeCell ref="F155:M155"/>
    <mergeCell ref="N155:R155"/>
    <mergeCell ref="H157:I157"/>
    <mergeCell ref="J157:K157"/>
    <mergeCell ref="L157:M157"/>
    <mergeCell ref="A156:E156"/>
    <mergeCell ref="F156:G156"/>
    <mergeCell ref="H156:I156"/>
    <mergeCell ref="J156:K156"/>
    <mergeCell ref="L156:M156"/>
    <mergeCell ref="N157:O157"/>
    <mergeCell ref="B158:C158"/>
    <mergeCell ref="D158:E158"/>
    <mergeCell ref="F158:G158"/>
    <mergeCell ref="H158:I158"/>
    <mergeCell ref="J158:K158"/>
    <mergeCell ref="L158:M158"/>
    <mergeCell ref="B157:C157"/>
    <mergeCell ref="D157:E157"/>
    <mergeCell ref="F157:G157"/>
    <mergeCell ref="J160:K160"/>
    <mergeCell ref="L160:M160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N160:O160"/>
    <mergeCell ref="A163:R163"/>
    <mergeCell ref="B168:D168"/>
    <mergeCell ref="E168:H168"/>
    <mergeCell ref="I168:M168"/>
    <mergeCell ref="N168:Q168"/>
    <mergeCell ref="B160:C160"/>
    <mergeCell ref="D160:E160"/>
    <mergeCell ref="F160:G160"/>
    <mergeCell ref="H160:I160"/>
    <mergeCell ref="B169:D169"/>
    <mergeCell ref="E169:H169"/>
    <mergeCell ref="I169:M169"/>
    <mergeCell ref="N169:Q169"/>
    <mergeCell ref="B170:D170"/>
    <mergeCell ref="E170:H170"/>
    <mergeCell ref="I170:M170"/>
    <mergeCell ref="N170:Q170"/>
    <mergeCell ref="B171:D171"/>
    <mergeCell ref="E171:H171"/>
    <mergeCell ref="I171:M171"/>
    <mergeCell ref="N171:Q171"/>
    <mergeCell ref="B172:D172"/>
    <mergeCell ref="E172:H172"/>
    <mergeCell ref="I172:M172"/>
    <mergeCell ref="N172:Q172"/>
    <mergeCell ref="A176:R176"/>
    <mergeCell ref="B181:D181"/>
    <mergeCell ref="E181:H181"/>
    <mergeCell ref="I181:M181"/>
    <mergeCell ref="N181:Q181"/>
    <mergeCell ref="B182:D182"/>
    <mergeCell ref="E182:H182"/>
    <mergeCell ref="I182:M182"/>
    <mergeCell ref="N182:Q182"/>
    <mergeCell ref="A214:Q214"/>
    <mergeCell ref="B183:D183"/>
    <mergeCell ref="E183:H183"/>
    <mergeCell ref="I183:M183"/>
    <mergeCell ref="N183:Q183"/>
    <mergeCell ref="B184:D184"/>
    <mergeCell ref="E184:H184"/>
    <mergeCell ref="I184:M184"/>
    <mergeCell ref="N184:Q184"/>
    <mergeCell ref="A215:Q215"/>
    <mergeCell ref="B219:E219"/>
    <mergeCell ref="K219:M219"/>
    <mergeCell ref="B224:E224"/>
    <mergeCell ref="K224:M224"/>
    <mergeCell ref="A193:Q193"/>
    <mergeCell ref="A198:Q198"/>
    <mergeCell ref="A203:Q203"/>
    <mergeCell ref="A208:Q208"/>
    <mergeCell ref="A212:Q212"/>
    <mergeCell ref="A99:B100"/>
    <mergeCell ref="P99:Q99"/>
    <mergeCell ref="P100:Q100"/>
    <mergeCell ref="A101:B102"/>
    <mergeCell ref="P101:Q101"/>
    <mergeCell ref="P102:Q102"/>
  </mergeCells>
  <printOptions/>
  <pageMargins left="0.07874015748031496" right="0.1968503937007874" top="0.1968503937007874" bottom="0.15748031496062992" header="0.15748031496062992" footer="0.15748031496062992"/>
  <pageSetup horizontalDpi="600" verticalDpi="600" orientation="landscape" paperSize="9" scale="85" r:id="rId1"/>
  <rowBreaks count="1" manualBreakCount="1">
    <brk id="8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pane xSplit="2" ySplit="3" topLeftCell="C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.00390625" defaultRowHeight="12.75"/>
  <cols>
    <col min="1" max="1" width="28.00390625" style="279" customWidth="1"/>
    <col min="2" max="2" width="6.625" style="279" customWidth="1"/>
    <col min="3" max="9" width="13.125" style="279" bestFit="1" customWidth="1"/>
    <col min="10" max="11" width="14.00390625" style="279" bestFit="1" customWidth="1"/>
    <col min="12" max="12" width="13.25390625" style="279" bestFit="1" customWidth="1"/>
    <col min="13" max="18" width="14.00390625" style="279" bestFit="1" customWidth="1"/>
    <col min="19" max="19" width="15.25390625" style="279" bestFit="1" customWidth="1"/>
    <col min="20" max="20" width="15.875" style="279" bestFit="1" customWidth="1"/>
    <col min="21" max="21" width="15.125" style="279" bestFit="1" customWidth="1"/>
    <col min="22" max="16384" width="9.125" style="279" customWidth="1"/>
  </cols>
  <sheetData>
    <row r="1" spans="1:19" ht="15">
      <c r="A1" s="486" t="s">
        <v>388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19" ht="15">
      <c r="A2" s="332"/>
      <c r="B2" s="487" t="s">
        <v>93</v>
      </c>
      <c r="C2" s="487" t="s">
        <v>172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8"/>
      <c r="S2" s="333"/>
    </row>
    <row r="3" spans="1:19" ht="15">
      <c r="A3" s="332"/>
      <c r="B3" s="487"/>
      <c r="C3" s="332">
        <v>1</v>
      </c>
      <c r="D3" s="332">
        <v>2</v>
      </c>
      <c r="E3" s="332">
        <v>3</v>
      </c>
      <c r="F3" s="332" t="s">
        <v>171</v>
      </c>
      <c r="G3" s="332">
        <v>4</v>
      </c>
      <c r="H3" s="332">
        <v>5</v>
      </c>
      <c r="I3" s="332">
        <v>6</v>
      </c>
      <c r="J3" s="332" t="s">
        <v>170</v>
      </c>
      <c r="K3" s="332">
        <v>7</v>
      </c>
      <c r="L3" s="332">
        <v>8</v>
      </c>
      <c r="M3" s="332">
        <v>9</v>
      </c>
      <c r="N3" s="332" t="s">
        <v>169</v>
      </c>
      <c r="O3" s="332">
        <v>10</v>
      </c>
      <c r="P3" s="332">
        <v>11</v>
      </c>
      <c r="Q3" s="332">
        <v>12</v>
      </c>
      <c r="R3" s="332" t="s">
        <v>168</v>
      </c>
      <c r="S3" s="332"/>
    </row>
    <row r="4" spans="1:21" ht="15">
      <c r="A4" s="332"/>
      <c r="B4" s="334">
        <v>211</v>
      </c>
      <c r="C4" s="351">
        <v>359736.82</v>
      </c>
      <c r="D4" s="351">
        <v>911843.5</v>
      </c>
      <c r="E4" s="351">
        <v>1031605</v>
      </c>
      <c r="F4" s="351">
        <f>C4+D4+E4</f>
        <v>2303185.3200000003</v>
      </c>
      <c r="G4" s="351">
        <v>1507009</v>
      </c>
      <c r="H4" s="351">
        <v>1242021</v>
      </c>
      <c r="I4" s="351">
        <v>845205.82</v>
      </c>
      <c r="J4" s="351">
        <f>G4+H4+I4</f>
        <v>3594235.82</v>
      </c>
      <c r="K4" s="351">
        <v>973351.35</v>
      </c>
      <c r="L4" s="351">
        <v>553596.65</v>
      </c>
      <c r="M4" s="351">
        <v>919218.86</v>
      </c>
      <c r="N4" s="351"/>
      <c r="O4" s="351">
        <f>R4-P4-Q4</f>
        <v>0</v>
      </c>
      <c r="P4" s="351"/>
      <c r="Q4" s="351"/>
      <c r="R4" s="351"/>
      <c r="S4" s="351">
        <f>S5+S6</f>
        <v>8343588</v>
      </c>
      <c r="T4" s="335">
        <f>проверка!C7</f>
        <v>29023332</v>
      </c>
      <c r="U4" s="335">
        <f>T4-S4</f>
        <v>20679744</v>
      </c>
    </row>
    <row r="5" spans="1:21" s="241" customFormat="1" ht="45">
      <c r="A5" s="328" t="s">
        <v>167</v>
      </c>
      <c r="B5" s="336">
        <v>211</v>
      </c>
      <c r="C5" s="352">
        <v>259858</v>
      </c>
      <c r="D5" s="352">
        <v>649645</v>
      </c>
      <c r="E5" s="352">
        <f>D5</f>
        <v>649645</v>
      </c>
      <c r="F5" s="353">
        <f>SUM(C5:E5)</f>
        <v>1559148</v>
      </c>
      <c r="G5" s="352">
        <f>ROUND(E5*1.6,0)-400000-205000</f>
        <v>434432</v>
      </c>
      <c r="H5" s="352">
        <f>E5*2-400000-79837.69+250000-400000</f>
        <v>669452.31</v>
      </c>
      <c r="I5" s="352">
        <f>ROUND(E5*0.6,0)-250000+76085</f>
        <v>215872</v>
      </c>
      <c r="J5" s="354">
        <f>SUM(G5:I5)</f>
        <v>1319756.31</v>
      </c>
      <c r="K5" s="352">
        <v>371469</v>
      </c>
      <c r="L5" s="352">
        <v>249446</v>
      </c>
      <c r="M5" s="352">
        <v>315420</v>
      </c>
      <c r="N5" s="352">
        <f aca="true" t="shared" si="0" ref="N5:N10">SUM(K5:M5)</f>
        <v>936335</v>
      </c>
      <c r="O5" s="352"/>
      <c r="P5" s="352"/>
      <c r="Q5" s="352"/>
      <c r="R5" s="352">
        <f>SUM(O5:Q5)</f>
        <v>0</v>
      </c>
      <c r="S5" s="355">
        <f aca="true" t="shared" si="1" ref="S5:S10">R5+N5+J5+F5</f>
        <v>3815239.31</v>
      </c>
      <c r="T5" s="338">
        <f>'свод '!F16</f>
        <v>14456829.57</v>
      </c>
      <c r="U5" s="335">
        <f aca="true" t="shared" si="2" ref="U5:U20">T5-S5</f>
        <v>10641590.26</v>
      </c>
    </row>
    <row r="6" spans="1:21" ht="45">
      <c r="A6" s="328" t="s">
        <v>66</v>
      </c>
      <c r="B6" s="339">
        <v>211</v>
      </c>
      <c r="C6" s="355">
        <f>C4-C5</f>
        <v>99878.82</v>
      </c>
      <c r="D6" s="355">
        <f>D4-D5</f>
        <v>262198.5</v>
      </c>
      <c r="E6" s="355">
        <f>E4-E5</f>
        <v>381960</v>
      </c>
      <c r="F6" s="353">
        <f>SUM(C6:E6)</f>
        <v>744037.3200000001</v>
      </c>
      <c r="G6" s="355">
        <f>G4-G5</f>
        <v>1072577</v>
      </c>
      <c r="H6" s="355">
        <f>H4-H5</f>
        <v>572568.69</v>
      </c>
      <c r="I6" s="355">
        <f>I4-I5</f>
        <v>629333.82</v>
      </c>
      <c r="J6" s="354">
        <f>SUM(G6:I6)</f>
        <v>2274479.51</v>
      </c>
      <c r="K6" s="355">
        <f>K4-K5</f>
        <v>601882.35</v>
      </c>
      <c r="L6" s="355">
        <f>L4-L5</f>
        <v>304150.65</v>
      </c>
      <c r="M6" s="355">
        <f>M4-M5</f>
        <v>603798.86</v>
      </c>
      <c r="N6" s="352">
        <f t="shared" si="0"/>
        <v>1509831.8599999999</v>
      </c>
      <c r="O6" s="355"/>
      <c r="P6" s="355"/>
      <c r="Q6" s="355"/>
      <c r="R6" s="352">
        <f>SUM(O6:Q6)</f>
        <v>0</v>
      </c>
      <c r="S6" s="355">
        <f t="shared" si="1"/>
        <v>4528348.6899999995</v>
      </c>
      <c r="T6" s="335">
        <f>'свод '!F29</f>
        <v>14566502.43</v>
      </c>
      <c r="U6" s="335">
        <f t="shared" si="2"/>
        <v>10038153.74</v>
      </c>
    </row>
    <row r="7" spans="1:21" ht="56.25">
      <c r="A7" s="328" t="s">
        <v>166</v>
      </c>
      <c r="B7" s="339">
        <v>213</v>
      </c>
      <c r="C7" s="355">
        <v>78477</v>
      </c>
      <c r="D7" s="355">
        <v>196193</v>
      </c>
      <c r="E7" s="355">
        <v>196193</v>
      </c>
      <c r="F7" s="353">
        <f>SUM(C7:E7)</f>
        <v>470863</v>
      </c>
      <c r="G7" s="355">
        <v>132518</v>
      </c>
      <c r="H7" s="355">
        <v>57018</v>
      </c>
      <c r="I7" s="355">
        <v>136344.38</v>
      </c>
      <c r="J7" s="354">
        <f>SUM(G7:I7)</f>
        <v>325880.38</v>
      </c>
      <c r="K7" s="355">
        <v>82581</v>
      </c>
      <c r="L7" s="355">
        <v>62048</v>
      </c>
      <c r="M7" s="355">
        <v>147429.53</v>
      </c>
      <c r="N7" s="352">
        <f t="shared" si="0"/>
        <v>292058.53</v>
      </c>
      <c r="O7" s="355"/>
      <c r="P7" s="355"/>
      <c r="Q7" s="355"/>
      <c r="R7" s="352">
        <f>SUM(O7:Q7)</f>
        <v>0</v>
      </c>
      <c r="S7" s="355">
        <f t="shared" si="1"/>
        <v>1088801.9100000001</v>
      </c>
      <c r="T7" s="335">
        <f>'свод '!F17</f>
        <v>4365962.53</v>
      </c>
      <c r="U7" s="335">
        <f t="shared" si="2"/>
        <v>3277160.62</v>
      </c>
    </row>
    <row r="8" spans="1:21" s="269" customFormat="1" ht="56.25">
      <c r="A8" s="329" t="s">
        <v>377</v>
      </c>
      <c r="B8" s="340">
        <v>213</v>
      </c>
      <c r="C8" s="355">
        <f>C9-C7</f>
        <v>163518.07</v>
      </c>
      <c r="D8" s="355">
        <f>D9-D7</f>
        <v>96748</v>
      </c>
      <c r="E8" s="355">
        <f>E9-E7</f>
        <v>35391.84</v>
      </c>
      <c r="F8" s="353">
        <f>SUM(C8:E8)</f>
        <v>295657.91000000003</v>
      </c>
      <c r="G8" s="355">
        <f>G9-G7</f>
        <v>274673.78</v>
      </c>
      <c r="H8" s="355">
        <f>H9-H7</f>
        <v>150610.99999999997</v>
      </c>
      <c r="I8" s="355">
        <f>I9-I7</f>
        <v>378356.74999999994</v>
      </c>
      <c r="J8" s="354">
        <f>SUM(G8:I8)</f>
        <v>803641.53</v>
      </c>
      <c r="K8" s="355">
        <f>K9-K7</f>
        <v>352643.03</v>
      </c>
      <c r="L8" s="355"/>
      <c r="M8" s="355">
        <f>M9-M7</f>
        <v>99645.44</v>
      </c>
      <c r="N8" s="352">
        <f t="shared" si="0"/>
        <v>452288.47000000003</v>
      </c>
      <c r="O8" s="355"/>
      <c r="P8" s="355"/>
      <c r="Q8" s="355"/>
      <c r="R8" s="352">
        <f>SUM(O8:Q8)</f>
        <v>0</v>
      </c>
      <c r="S8" s="355">
        <f t="shared" si="1"/>
        <v>1551587.9100000001</v>
      </c>
      <c r="T8" s="341">
        <f>'свод '!F31</f>
        <v>4399082.470000001</v>
      </c>
      <c r="U8" s="335">
        <f t="shared" si="2"/>
        <v>2847494.5600000005</v>
      </c>
    </row>
    <row r="9" spans="1:21" s="241" customFormat="1" ht="15">
      <c r="A9" s="328"/>
      <c r="B9" s="337">
        <v>213</v>
      </c>
      <c r="C9" s="351">
        <v>241995.07</v>
      </c>
      <c r="D9" s="351">
        <v>292941</v>
      </c>
      <c r="E9" s="351">
        <f>294225.74-62640.9</f>
        <v>231584.84</v>
      </c>
      <c r="F9" s="351">
        <f>C9+D9+E9</f>
        <v>766520.91</v>
      </c>
      <c r="G9" s="351">
        <v>407191.78</v>
      </c>
      <c r="H9" s="351">
        <f>271571.85-63942.85</f>
        <v>207628.99999999997</v>
      </c>
      <c r="I9" s="351">
        <f>566325.83-51624.7</f>
        <v>514701.12999999995</v>
      </c>
      <c r="J9" s="351">
        <f>G9+H9+I9</f>
        <v>1129521.91</v>
      </c>
      <c r="K9" s="351">
        <v>435224.03</v>
      </c>
      <c r="L9" s="351"/>
      <c r="M9" s="351">
        <v>247074.97</v>
      </c>
      <c r="N9" s="352">
        <f t="shared" si="0"/>
        <v>682299</v>
      </c>
      <c r="O9" s="351">
        <f>R9-P9-Q9</f>
        <v>0</v>
      </c>
      <c r="P9" s="351"/>
      <c r="Q9" s="351"/>
      <c r="R9" s="351"/>
      <c r="S9" s="351">
        <f t="shared" si="1"/>
        <v>2578341.82</v>
      </c>
      <c r="T9" s="338">
        <f>проверка!C8</f>
        <v>8765045</v>
      </c>
      <c r="U9" s="335">
        <f t="shared" si="2"/>
        <v>6186703.18</v>
      </c>
    </row>
    <row r="10" spans="1:21" ht="22.5">
      <c r="A10" s="328" t="s">
        <v>64</v>
      </c>
      <c r="B10" s="332">
        <v>212</v>
      </c>
      <c r="C10" s="355"/>
      <c r="D10" s="355">
        <v>50</v>
      </c>
      <c r="E10" s="355">
        <v>50</v>
      </c>
      <c r="F10" s="353">
        <f>SUM(C10:E10)</f>
        <v>100</v>
      </c>
      <c r="G10" s="355">
        <v>100</v>
      </c>
      <c r="H10" s="355"/>
      <c r="I10" s="355">
        <v>50</v>
      </c>
      <c r="J10" s="353">
        <f>SUM(G10:I10)</f>
        <v>150</v>
      </c>
      <c r="K10" s="355">
        <v>200</v>
      </c>
      <c r="L10" s="355"/>
      <c r="M10" s="355"/>
      <c r="N10" s="355">
        <f t="shared" si="0"/>
        <v>200</v>
      </c>
      <c r="O10" s="355"/>
      <c r="P10" s="355"/>
      <c r="Q10" s="355"/>
      <c r="R10" s="355"/>
      <c r="S10" s="355">
        <f t="shared" si="1"/>
        <v>450</v>
      </c>
      <c r="T10" s="335">
        <f>'свод '!F32</f>
        <v>1200</v>
      </c>
      <c r="U10" s="335">
        <f t="shared" si="2"/>
        <v>750</v>
      </c>
    </row>
    <row r="11" spans="1:21" ht="15">
      <c r="A11" s="266" t="s">
        <v>82</v>
      </c>
      <c r="B11" s="332">
        <v>221</v>
      </c>
      <c r="C11" s="355"/>
      <c r="D11" s="355">
        <v>3511.31</v>
      </c>
      <c r="E11" s="355">
        <v>1128.69</v>
      </c>
      <c r="F11" s="353">
        <f aca="true" t="shared" si="3" ref="F11:F20">SUM(C11:E11)</f>
        <v>4640</v>
      </c>
      <c r="G11" s="355">
        <v>2000</v>
      </c>
      <c r="H11" s="355">
        <v>1200</v>
      </c>
      <c r="I11" s="355">
        <v>1440</v>
      </c>
      <c r="J11" s="353">
        <f aca="true" t="shared" si="4" ref="J11:J20">SUM(G11:I11)</f>
        <v>4640</v>
      </c>
      <c r="K11" s="355">
        <v>1550</v>
      </c>
      <c r="L11" s="355">
        <v>3090</v>
      </c>
      <c r="M11" s="355"/>
      <c r="N11" s="355">
        <f aca="true" t="shared" si="5" ref="N11:N16">SUM(K11:M11)</f>
        <v>4640</v>
      </c>
      <c r="O11" s="355"/>
      <c r="P11" s="355"/>
      <c r="Q11" s="355"/>
      <c r="R11" s="355"/>
      <c r="S11" s="355">
        <f aca="true" t="shared" si="6" ref="S11:S20">R11+N11+J11+F11</f>
        <v>13920</v>
      </c>
      <c r="T11" s="335">
        <f>'свод '!F74</f>
        <v>66781</v>
      </c>
      <c r="U11" s="335">
        <f t="shared" si="2"/>
        <v>52861</v>
      </c>
    </row>
    <row r="12" spans="1:21" ht="15">
      <c r="A12" s="266" t="s">
        <v>161</v>
      </c>
      <c r="B12" s="332">
        <v>223</v>
      </c>
      <c r="C12" s="355">
        <v>92672.51</v>
      </c>
      <c r="D12" s="355">
        <v>110096.86</v>
      </c>
      <c r="E12" s="355">
        <v>102166.4</v>
      </c>
      <c r="F12" s="353">
        <f t="shared" si="3"/>
        <v>304935.77</v>
      </c>
      <c r="G12" s="355">
        <v>88396</v>
      </c>
      <c r="H12" s="355">
        <v>52603.55</v>
      </c>
      <c r="I12" s="355">
        <v>27229.36</v>
      </c>
      <c r="J12" s="353">
        <f t="shared" si="4"/>
        <v>168228.90999999997</v>
      </c>
      <c r="K12" s="355">
        <v>19418.42</v>
      </c>
      <c r="L12" s="355">
        <v>11521.19</v>
      </c>
      <c r="M12" s="355">
        <v>15649.78</v>
      </c>
      <c r="N12" s="355">
        <f t="shared" si="5"/>
        <v>46589.39</v>
      </c>
      <c r="O12" s="355"/>
      <c r="P12" s="355"/>
      <c r="Q12" s="355"/>
      <c r="R12" s="355"/>
      <c r="S12" s="355">
        <f t="shared" si="6"/>
        <v>519754.07</v>
      </c>
      <c r="T12" s="335">
        <f>'свод '!F107</f>
        <v>3232040</v>
      </c>
      <c r="U12" s="335">
        <f t="shared" si="2"/>
        <v>2712285.93</v>
      </c>
    </row>
    <row r="13" spans="1:21" ht="15">
      <c r="A13" s="330" t="s">
        <v>165</v>
      </c>
      <c r="B13" s="332">
        <v>225</v>
      </c>
      <c r="C13" s="355">
        <v>6588.73</v>
      </c>
      <c r="D13" s="355">
        <v>14947.69</v>
      </c>
      <c r="E13" s="355">
        <v>1811.3</v>
      </c>
      <c r="F13" s="353">
        <f t="shared" si="3"/>
        <v>23347.719999999998</v>
      </c>
      <c r="G13" s="355">
        <v>19804.54</v>
      </c>
      <c r="H13" s="355">
        <v>6767.3</v>
      </c>
      <c r="I13" s="355"/>
      <c r="J13" s="353">
        <f t="shared" si="4"/>
        <v>26571.84</v>
      </c>
      <c r="K13" s="355">
        <v>31545.03</v>
      </c>
      <c r="L13" s="355">
        <v>28452.81</v>
      </c>
      <c r="M13" s="355">
        <v>8861.74</v>
      </c>
      <c r="N13" s="355">
        <f t="shared" si="5"/>
        <v>68859.58</v>
      </c>
      <c r="O13" s="355"/>
      <c r="P13" s="355"/>
      <c r="Q13" s="355"/>
      <c r="R13" s="355"/>
      <c r="S13" s="355">
        <f t="shared" si="6"/>
        <v>118779.14</v>
      </c>
      <c r="T13" s="335">
        <f>проверка!C15</f>
        <v>365885</v>
      </c>
      <c r="U13" s="335">
        <f t="shared" si="2"/>
        <v>247105.86</v>
      </c>
    </row>
    <row r="14" spans="1:21" ht="15">
      <c r="A14" s="266" t="s">
        <v>164</v>
      </c>
      <c r="B14" s="332">
        <v>226</v>
      </c>
      <c r="C14" s="355">
        <v>2600</v>
      </c>
      <c r="D14" s="355">
        <v>2000.2</v>
      </c>
      <c r="E14" s="355">
        <v>1000.1</v>
      </c>
      <c r="F14" s="353">
        <f t="shared" si="3"/>
        <v>5600.3</v>
      </c>
      <c r="G14" s="355">
        <v>7400.1</v>
      </c>
      <c r="H14" s="355">
        <v>5017.6</v>
      </c>
      <c r="I14" s="355"/>
      <c r="J14" s="353">
        <f t="shared" si="4"/>
        <v>12417.7</v>
      </c>
      <c r="K14" s="355">
        <v>77582.7</v>
      </c>
      <c r="L14" s="355">
        <v>4730.1</v>
      </c>
      <c r="M14" s="355"/>
      <c r="N14" s="355">
        <f t="shared" si="5"/>
        <v>82312.8</v>
      </c>
      <c r="O14" s="355"/>
      <c r="P14" s="355"/>
      <c r="Q14" s="355"/>
      <c r="R14" s="355"/>
      <c r="S14" s="355">
        <f t="shared" si="6"/>
        <v>100330.8</v>
      </c>
      <c r="T14" s="335">
        <f>проверка!C16</f>
        <v>347535</v>
      </c>
      <c r="U14" s="335">
        <f t="shared" si="2"/>
        <v>247204.2</v>
      </c>
    </row>
    <row r="15" spans="1:21" ht="15.75" customHeight="1">
      <c r="A15" s="332" t="s">
        <v>160</v>
      </c>
      <c r="B15" s="332">
        <v>290</v>
      </c>
      <c r="C15" s="355">
        <v>85762</v>
      </c>
      <c r="D15" s="355">
        <v>17738</v>
      </c>
      <c r="E15" s="355"/>
      <c r="F15" s="353">
        <f>SUM(C15:E15)</f>
        <v>103500</v>
      </c>
      <c r="G15" s="355">
        <v>17805</v>
      </c>
      <c r="H15" s="355">
        <v>86118</v>
      </c>
      <c r="I15" s="355"/>
      <c r="J15" s="353">
        <f t="shared" si="4"/>
        <v>103923</v>
      </c>
      <c r="K15" s="355">
        <v>103876</v>
      </c>
      <c r="L15" s="355"/>
      <c r="M15" s="355"/>
      <c r="N15" s="355">
        <f t="shared" si="5"/>
        <v>103876</v>
      </c>
      <c r="O15" s="355"/>
      <c r="P15" s="355"/>
      <c r="Q15" s="355"/>
      <c r="R15" s="355"/>
      <c r="S15" s="355">
        <f>R15+N15+J15+F15</f>
        <v>311299</v>
      </c>
      <c r="T15" s="342">
        <f>'свод '!F118</f>
        <v>1371913</v>
      </c>
      <c r="U15" s="335">
        <f>T15-S15</f>
        <v>1060614</v>
      </c>
    </row>
    <row r="16" spans="1:21" ht="15">
      <c r="A16" s="331" t="s">
        <v>142</v>
      </c>
      <c r="B16" s="332">
        <v>340</v>
      </c>
      <c r="C16" s="355">
        <v>49995.82</v>
      </c>
      <c r="D16" s="355">
        <v>98439.8</v>
      </c>
      <c r="E16" s="355">
        <v>175747.04</v>
      </c>
      <c r="F16" s="353">
        <f>SUM(C16:E16)</f>
        <v>324182.66000000003</v>
      </c>
      <c r="G16" s="355">
        <v>88189.82</v>
      </c>
      <c r="H16" s="355">
        <v>180386.41</v>
      </c>
      <c r="I16" s="355">
        <v>69260.81</v>
      </c>
      <c r="J16" s="353">
        <f t="shared" si="4"/>
        <v>337837.04</v>
      </c>
      <c r="K16" s="355">
        <v>25157.93</v>
      </c>
      <c r="L16" s="355">
        <v>470377.12</v>
      </c>
      <c r="M16" s="355">
        <v>32319.23</v>
      </c>
      <c r="N16" s="355">
        <f t="shared" si="5"/>
        <v>527854.28</v>
      </c>
      <c r="O16" s="355"/>
      <c r="P16" s="355"/>
      <c r="Q16" s="355"/>
      <c r="R16" s="355"/>
      <c r="S16" s="355">
        <f t="shared" si="6"/>
        <v>1189873.98</v>
      </c>
      <c r="T16" s="335">
        <f>проверка!C18</f>
        <v>0</v>
      </c>
      <c r="U16" s="335">
        <f t="shared" si="2"/>
        <v>-1189873.98</v>
      </c>
    </row>
    <row r="17" spans="1:21" s="345" customFormat="1" ht="15">
      <c r="A17" s="343" t="s">
        <v>162</v>
      </c>
      <c r="B17" s="343"/>
      <c r="C17" s="356">
        <f>C5+C7</f>
        <v>338335</v>
      </c>
      <c r="D17" s="356">
        <f>D5+D7</f>
        <v>845838</v>
      </c>
      <c r="E17" s="356">
        <f>E5+E7</f>
        <v>845838</v>
      </c>
      <c r="F17" s="356">
        <f t="shared" si="3"/>
        <v>2030011</v>
      </c>
      <c r="G17" s="356">
        <f>G5+G7</f>
        <v>566950</v>
      </c>
      <c r="H17" s="356">
        <f>H5+H7</f>
        <v>726470.31</v>
      </c>
      <c r="I17" s="356">
        <f>I5+I7</f>
        <v>352216.38</v>
      </c>
      <c r="J17" s="356">
        <f t="shared" si="4"/>
        <v>1645636.69</v>
      </c>
      <c r="K17" s="356">
        <f>K5+K7</f>
        <v>454050</v>
      </c>
      <c r="L17" s="356">
        <f>L5+L7</f>
        <v>311494</v>
      </c>
      <c r="M17" s="356">
        <f>M5+M7</f>
        <v>462849.53</v>
      </c>
      <c r="N17" s="356">
        <f>SUM(K17:M17)</f>
        <v>1228393.53</v>
      </c>
      <c r="O17" s="356">
        <f>O5+O7</f>
        <v>0</v>
      </c>
      <c r="P17" s="356">
        <f>P5+P7</f>
        <v>0</v>
      </c>
      <c r="Q17" s="356">
        <f>Q5+Q7</f>
        <v>0</v>
      </c>
      <c r="R17" s="356">
        <f>SUM(O17:Q17)</f>
        <v>0</v>
      </c>
      <c r="S17" s="357">
        <f t="shared" si="6"/>
        <v>4904041.22</v>
      </c>
      <c r="T17" s="344">
        <f>'свод '!F20</f>
        <v>19112758.1</v>
      </c>
      <c r="U17" s="335">
        <f t="shared" si="2"/>
        <v>14208716.880000003</v>
      </c>
    </row>
    <row r="18" spans="1:21" ht="15.75">
      <c r="A18" s="346" t="s">
        <v>163</v>
      </c>
      <c r="B18" s="332"/>
      <c r="C18" s="358">
        <f>C16+C13+C12+C11+C10+C8+C6+C14</f>
        <v>415253.95</v>
      </c>
      <c r="D18" s="358">
        <f>D16+D13+D12+D11+D10+D8+D6+D14</f>
        <v>587992.36</v>
      </c>
      <c r="E18" s="358">
        <f>E16+E13+E12+E11+E10+E8+E6+E14</f>
        <v>699255.37</v>
      </c>
      <c r="F18" s="358">
        <f t="shared" si="3"/>
        <v>1702501.6800000002</v>
      </c>
      <c r="G18" s="358">
        <f>G16+G13+G12+G11+G10+G8+G6+G14</f>
        <v>1553141.2400000002</v>
      </c>
      <c r="H18" s="358">
        <f>H16+H13+H12+H11+H10+H8+H6+H14</f>
        <v>969154.5499999999</v>
      </c>
      <c r="I18" s="358">
        <f>I16+I13+I12+I11+I10+I8+I6+I14</f>
        <v>1105670.7399999998</v>
      </c>
      <c r="J18" s="358">
        <f t="shared" si="4"/>
        <v>3627966.53</v>
      </c>
      <c r="K18" s="358">
        <f>K16+K13+K12+K11+K10+K8+K6+K14</f>
        <v>1109979.46</v>
      </c>
      <c r="L18" s="358">
        <f>L16+L13+L12+L11+L10+L8+L6+L14</f>
        <v>822321.87</v>
      </c>
      <c r="M18" s="358">
        <f>M16+M13+M12+M11+M10+M8+M6+M14</f>
        <v>760275.05</v>
      </c>
      <c r="N18" s="358">
        <f>SUM(K18:M18)</f>
        <v>2692576.38</v>
      </c>
      <c r="O18" s="358">
        <f>O16+O13+O12+O11+O10+O8+O6+O14</f>
        <v>0</v>
      </c>
      <c r="P18" s="358">
        <f>P16+P13+P12+P11+P10+P8+P6+P14</f>
        <v>0</v>
      </c>
      <c r="Q18" s="358">
        <f>Q16+Q13+Q12+Q11+Q10+Q8+Q6+Q14</f>
        <v>0</v>
      </c>
      <c r="R18" s="358">
        <f>SUM(O18:Q18)</f>
        <v>0</v>
      </c>
      <c r="S18" s="357">
        <f t="shared" si="6"/>
        <v>8023044.59</v>
      </c>
      <c r="T18" s="335">
        <f>'свод '!F108</f>
        <v>22979025.7</v>
      </c>
      <c r="U18" s="335">
        <f t="shared" si="2"/>
        <v>14955981.11</v>
      </c>
    </row>
    <row r="19" spans="1:21" ht="15">
      <c r="A19" s="343" t="s">
        <v>159</v>
      </c>
      <c r="B19" s="332"/>
      <c r="C19" s="356">
        <f>C15</f>
        <v>85762</v>
      </c>
      <c r="D19" s="356">
        <f>D15</f>
        <v>17738</v>
      </c>
      <c r="E19" s="356">
        <f>E15</f>
        <v>0</v>
      </c>
      <c r="F19" s="356">
        <f t="shared" si="3"/>
        <v>103500</v>
      </c>
      <c r="G19" s="356">
        <f>G15</f>
        <v>17805</v>
      </c>
      <c r="H19" s="356">
        <f>H15</f>
        <v>86118</v>
      </c>
      <c r="I19" s="356">
        <f>I15</f>
        <v>0</v>
      </c>
      <c r="J19" s="356">
        <f t="shared" si="4"/>
        <v>103923</v>
      </c>
      <c r="K19" s="356">
        <f>K15</f>
        <v>103876</v>
      </c>
      <c r="L19" s="356">
        <f>L15</f>
        <v>0</v>
      </c>
      <c r="M19" s="356">
        <f>M15</f>
        <v>0</v>
      </c>
      <c r="N19" s="356">
        <f>SUM(K19:M19)</f>
        <v>103876</v>
      </c>
      <c r="O19" s="356">
        <f>O15</f>
        <v>0</v>
      </c>
      <c r="P19" s="356">
        <f>P15</f>
        <v>0</v>
      </c>
      <c r="Q19" s="356">
        <f>Q15</f>
        <v>0</v>
      </c>
      <c r="R19" s="356">
        <f>SUM(O19:Q19)</f>
        <v>0</v>
      </c>
      <c r="S19" s="357">
        <f t="shared" si="6"/>
        <v>311299</v>
      </c>
      <c r="T19" s="335">
        <f>'свод '!F118</f>
        <v>1371913</v>
      </c>
      <c r="U19" s="335">
        <f t="shared" si="2"/>
        <v>1060614</v>
      </c>
    </row>
    <row r="20" spans="1:21" s="349" customFormat="1" ht="15.75">
      <c r="A20" s="347" t="s">
        <v>158</v>
      </c>
      <c r="B20" s="347"/>
      <c r="C20" s="359">
        <f>C19+C17+C18</f>
        <v>839350.95</v>
      </c>
      <c r="D20" s="359">
        <f>D19+D17+D18</f>
        <v>1451568.3599999999</v>
      </c>
      <c r="E20" s="359">
        <f>E19+E17+E18</f>
        <v>1545093.37</v>
      </c>
      <c r="F20" s="360">
        <f t="shared" si="3"/>
        <v>3836012.6799999997</v>
      </c>
      <c r="G20" s="359">
        <f>G19+G17+G18</f>
        <v>2137896.24</v>
      </c>
      <c r="H20" s="359">
        <f>H19+H17+H18</f>
        <v>1781742.8599999999</v>
      </c>
      <c r="I20" s="359">
        <f>I19+I17+I18</f>
        <v>1457887.1199999996</v>
      </c>
      <c r="J20" s="360">
        <f t="shared" si="4"/>
        <v>5377526.22</v>
      </c>
      <c r="K20" s="359">
        <f>K19+K17+K18</f>
        <v>1667905.46</v>
      </c>
      <c r="L20" s="359">
        <f>L19+L17+L18</f>
        <v>1133815.87</v>
      </c>
      <c r="M20" s="359">
        <f>M19+M17+M18</f>
        <v>1223124.58</v>
      </c>
      <c r="N20" s="360">
        <f>SUM(K20:M20)</f>
        <v>4024845.91</v>
      </c>
      <c r="O20" s="359">
        <f>O19+O17+O18</f>
        <v>0</v>
      </c>
      <c r="P20" s="359">
        <f>P19+P17+P18</f>
        <v>0</v>
      </c>
      <c r="Q20" s="359">
        <f>Q19+Q17+Q18</f>
        <v>0</v>
      </c>
      <c r="R20" s="360">
        <f>SUM(O20:Q20)</f>
        <v>0</v>
      </c>
      <c r="S20" s="361">
        <f t="shared" si="6"/>
        <v>13238384.809999999</v>
      </c>
      <c r="T20" s="348">
        <f>'свод '!F119</f>
        <v>43463697</v>
      </c>
      <c r="U20" s="335">
        <f t="shared" si="2"/>
        <v>30225312.19</v>
      </c>
    </row>
    <row r="21" spans="19:20" ht="15">
      <c r="S21" s="279">
        <v>9213538.9</v>
      </c>
      <c r="T21" s="335">
        <f>S20-S21</f>
        <v>4024845.9099999983</v>
      </c>
    </row>
    <row r="22" spans="7:9" ht="15">
      <c r="G22" s="279">
        <v>2137896.24</v>
      </c>
      <c r="H22" s="279">
        <v>1781742.86</v>
      </c>
      <c r="I22" s="279">
        <v>1457887.12</v>
      </c>
    </row>
    <row r="23" spans="7:18" ht="15">
      <c r="G23" s="335">
        <f>G20-G22</f>
        <v>0</v>
      </c>
      <c r="H23" s="335">
        <f>H20-H22</f>
        <v>0</v>
      </c>
      <c r="I23" s="335">
        <f>I20-I22</f>
        <v>0</v>
      </c>
      <c r="R23" s="335"/>
    </row>
    <row r="24" ht="15">
      <c r="F24" s="279">
        <f>S21-G22-H22-I22</f>
        <v>3836012.6799999997</v>
      </c>
    </row>
    <row r="25" ht="15">
      <c r="F25" s="335">
        <f>F20-F24</f>
        <v>0</v>
      </c>
    </row>
    <row r="26" ht="15">
      <c r="A26" s="350"/>
    </row>
    <row r="27" ht="15">
      <c r="B27" s="350"/>
    </row>
    <row r="28" spans="1:9" ht="15">
      <c r="A28" s="350" t="s">
        <v>140</v>
      </c>
      <c r="H28" s="486"/>
      <c r="I28" s="486"/>
    </row>
    <row r="30" spans="1:9" ht="15">
      <c r="A30" s="279" t="s">
        <v>125</v>
      </c>
      <c r="H30" s="486"/>
      <c r="I30" s="486"/>
    </row>
  </sheetData>
  <sheetProtection/>
  <mergeCells count="5">
    <mergeCell ref="A1:S1"/>
    <mergeCell ref="B2:B3"/>
    <mergeCell ref="C2:R2"/>
    <mergeCell ref="H28:I28"/>
    <mergeCell ref="H30:I30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view="pageBreakPreview" zoomScaleSheetLayoutView="100" zoomScalePageLayoutView="0" workbookViewId="0" topLeftCell="A10">
      <pane xSplit="4" topLeftCell="E1" activePane="topRight" state="frozen"/>
      <selection pane="topLeft" activeCell="Q23" sqref="Q23"/>
      <selection pane="topRight" activeCell="Q23" sqref="Q23"/>
    </sheetView>
  </sheetViews>
  <sheetFormatPr defaultColWidth="9.00390625" defaultRowHeight="12.75"/>
  <cols>
    <col min="1" max="1" width="9.125" style="229" customWidth="1"/>
    <col min="2" max="2" width="52.25390625" style="229" customWidth="1"/>
    <col min="3" max="3" width="15.875" style="229" customWidth="1"/>
    <col min="4" max="4" width="18.25390625" style="229" customWidth="1"/>
    <col min="5" max="7" width="16.25390625" style="229" customWidth="1"/>
    <col min="8" max="10" width="16.75390625" style="229" hidden="1" customWidth="1"/>
    <col min="11" max="11" width="18.00390625" style="229" hidden="1" customWidth="1"/>
    <col min="12" max="12" width="17.75390625" style="229" hidden="1" customWidth="1"/>
    <col min="13" max="13" width="17.125" style="229" hidden="1" customWidth="1"/>
    <col min="14" max="14" width="16.875" style="229" hidden="1" customWidth="1"/>
    <col min="15" max="15" width="15.25390625" style="229" hidden="1" customWidth="1"/>
    <col min="16" max="16" width="15.125" style="229" hidden="1" customWidth="1"/>
    <col min="17" max="17" width="14.25390625" style="231" hidden="1" customWidth="1"/>
    <col min="18" max="18" width="16.25390625" style="229" hidden="1" customWidth="1"/>
    <col min="19" max="19" width="9.125" style="229" hidden="1" customWidth="1"/>
    <col min="20" max="20" width="10.125" style="229" bestFit="1" customWidth="1"/>
    <col min="21" max="21" width="9.625" style="229" bestFit="1" customWidth="1"/>
    <col min="22" max="16384" width="9.125" style="229" customWidth="1"/>
  </cols>
  <sheetData>
    <row r="1" ht="11.25" customHeight="1">
      <c r="G1" s="230" t="s">
        <v>313</v>
      </c>
    </row>
    <row r="2" ht="9" customHeight="1">
      <c r="G2" s="230" t="s">
        <v>174</v>
      </c>
    </row>
    <row r="3" ht="9.75" customHeight="1">
      <c r="G3" s="230" t="s">
        <v>175</v>
      </c>
    </row>
    <row r="4" ht="9.75" customHeight="1">
      <c r="G4" s="230" t="s">
        <v>176</v>
      </c>
    </row>
    <row r="5" ht="9" customHeight="1">
      <c r="G5" s="230" t="s">
        <v>177</v>
      </c>
    </row>
    <row r="6" ht="10.5" customHeight="1">
      <c r="G6" s="230" t="s">
        <v>178</v>
      </c>
    </row>
    <row r="7" ht="9" customHeight="1">
      <c r="G7" s="230" t="s">
        <v>179</v>
      </c>
    </row>
    <row r="8" ht="9.75" customHeight="1">
      <c r="G8" s="230" t="s">
        <v>180</v>
      </c>
    </row>
    <row r="9" ht="9" customHeight="1">
      <c r="G9" s="230" t="s">
        <v>181</v>
      </c>
    </row>
    <row r="10" ht="9.75" customHeight="1">
      <c r="G10" s="230" t="s">
        <v>182</v>
      </c>
    </row>
    <row r="11" spans="2:17" s="232" customFormat="1" ht="15.75">
      <c r="B11" s="233"/>
      <c r="C11" s="234" t="s">
        <v>314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Q11" s="235"/>
    </row>
    <row r="12" spans="2:17" s="232" customFormat="1" ht="15.75">
      <c r="B12" s="233"/>
      <c r="C12" s="234" t="s">
        <v>315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Q12" s="235"/>
    </row>
    <row r="13" spans="1:17" s="232" customFormat="1" ht="33" customHeight="1">
      <c r="A13" s="564" t="s">
        <v>316</v>
      </c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235"/>
    </row>
    <row r="14" spans="1:17" s="232" customFormat="1" ht="18.75" customHeight="1">
      <c r="A14" s="565" t="s">
        <v>378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235"/>
    </row>
    <row r="15" spans="1:17" s="232" customFormat="1" ht="15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5"/>
    </row>
    <row r="16" spans="2:17" s="232" customFormat="1" ht="15.75">
      <c r="B16" s="233"/>
      <c r="C16" s="234" t="s">
        <v>389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Q16" s="235"/>
    </row>
    <row r="17" spans="2:17" s="232" customFormat="1" ht="15.75">
      <c r="B17" s="233"/>
      <c r="C17" s="234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Q17" s="235"/>
    </row>
    <row r="18" spans="1:17" s="232" customFormat="1" ht="17.25" customHeight="1">
      <c r="A18" s="237" t="s">
        <v>317</v>
      </c>
      <c r="B18" s="238"/>
      <c r="C18" s="365" t="s">
        <v>386</v>
      </c>
      <c r="D18" s="365"/>
      <c r="E18" s="239"/>
      <c r="F18" s="239"/>
      <c r="G18" s="239"/>
      <c r="H18" s="239"/>
      <c r="I18" s="239"/>
      <c r="J18" s="239"/>
      <c r="K18" s="239"/>
      <c r="L18" s="239"/>
      <c r="M18" s="239"/>
      <c r="Q18" s="235"/>
    </row>
    <row r="19" spans="2:17" s="232" customFormat="1" ht="12.75" customHeight="1" hidden="1">
      <c r="B19" s="240"/>
      <c r="C19" s="365"/>
      <c r="D19" s="365"/>
      <c r="Q19" s="235"/>
    </row>
    <row r="20" spans="2:17" s="232" customFormat="1" ht="12.75">
      <c r="B20" s="240"/>
      <c r="C20" s="365" t="s">
        <v>387</v>
      </c>
      <c r="D20" s="365"/>
      <c r="Q20" s="235"/>
    </row>
    <row r="21" spans="1:17" s="241" customFormat="1" ht="15">
      <c r="A21" s="241" t="s">
        <v>318</v>
      </c>
      <c r="C21" s="366"/>
      <c r="D21" s="366"/>
      <c r="Q21" s="242"/>
    </row>
    <row r="22" spans="1:17" s="241" customFormat="1" ht="15">
      <c r="A22" s="241" t="s">
        <v>319</v>
      </c>
      <c r="Q22" s="242"/>
    </row>
    <row r="24" spans="1:16" ht="39" customHeight="1">
      <c r="A24" s="534" t="s">
        <v>320</v>
      </c>
      <c r="B24" s="536"/>
      <c r="C24" s="245" t="s">
        <v>30</v>
      </c>
      <c r="D24" s="245" t="s">
        <v>321</v>
      </c>
      <c r="E24" s="534" t="s">
        <v>322</v>
      </c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6"/>
    </row>
    <row r="25" spans="1:16" ht="21.75" customHeight="1">
      <c r="A25" s="542" t="s">
        <v>323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43"/>
    </row>
    <row r="26" spans="1:19" ht="64.5" customHeight="1">
      <c r="A26" s="544" t="s">
        <v>324</v>
      </c>
      <c r="B26" s="545"/>
      <c r="C26" s="247" t="s">
        <v>199</v>
      </c>
      <c r="D26" s="248">
        <f>ROUND((E26+F26+G26+H26+I26+J26+K26+L26+M26+N26+O26+P26)/S26,0)</f>
        <v>152</v>
      </c>
      <c r="E26" s="248">
        <f aca="true" t="shared" si="0" ref="E26:M26">E27</f>
        <v>152</v>
      </c>
      <c r="F26" s="248">
        <f t="shared" si="0"/>
        <v>152</v>
      </c>
      <c r="G26" s="248">
        <v>152</v>
      </c>
      <c r="H26" s="248">
        <f t="shared" si="0"/>
        <v>0</v>
      </c>
      <c r="I26" s="248">
        <f t="shared" si="0"/>
        <v>0</v>
      </c>
      <c r="J26" s="248">
        <f t="shared" si="0"/>
        <v>0</v>
      </c>
      <c r="K26" s="248">
        <f t="shared" si="0"/>
        <v>0</v>
      </c>
      <c r="L26" s="248">
        <f t="shared" si="0"/>
        <v>0</v>
      </c>
      <c r="M26" s="248">
        <f t="shared" si="0"/>
        <v>0</v>
      </c>
      <c r="N26" s="248">
        <f>N27</f>
        <v>0</v>
      </c>
      <c r="O26" s="248">
        <f>O27</f>
        <v>0</v>
      </c>
      <c r="P26" s="248">
        <f>P27</f>
        <v>0</v>
      </c>
      <c r="S26" s="229">
        <f>COUNTIF(E26:P26,"&gt;0")</f>
        <v>3</v>
      </c>
    </row>
    <row r="27" spans="1:19" ht="12.75">
      <c r="A27" s="544" t="s">
        <v>325</v>
      </c>
      <c r="B27" s="545"/>
      <c r="C27" s="247" t="s">
        <v>199</v>
      </c>
      <c r="D27" s="248">
        <f>ROUND((E27+F27+G27+H27+I27+J27+K27+L27+M27+N27+O27+P27)/S27,0)</f>
        <v>152</v>
      </c>
      <c r="E27" s="248">
        <f>'[2]мун.задание'!D69</f>
        <v>152</v>
      </c>
      <c r="F27" s="248">
        <f>'[2]мун.задание'!E69</f>
        <v>152</v>
      </c>
      <c r="G27" s="248">
        <v>152</v>
      </c>
      <c r="H27" s="248"/>
      <c r="I27" s="248"/>
      <c r="J27" s="248"/>
      <c r="K27" s="248"/>
      <c r="L27" s="248"/>
      <c r="M27" s="248"/>
      <c r="N27" s="248"/>
      <c r="O27" s="248"/>
      <c r="P27" s="248"/>
      <c r="S27" s="229">
        <f>COUNTIF(E27:P27,"&gt;0")</f>
        <v>3</v>
      </c>
    </row>
    <row r="28" spans="1:19" ht="15" customHeight="1">
      <c r="A28" s="544" t="s">
        <v>326</v>
      </c>
      <c r="B28" s="545"/>
      <c r="C28" s="247" t="s">
        <v>199</v>
      </c>
      <c r="D28" s="248">
        <f>ROUND((E28+F28+G28+H28+I28+J28+K28+L28+M28+N28+O28+P28)/S28,0)</f>
        <v>152</v>
      </c>
      <c r="E28" s="248">
        <f>'[2]мун.задание'!D70</f>
        <v>152</v>
      </c>
      <c r="F28" s="248">
        <f>'[2]мун.задание'!E70</f>
        <v>152</v>
      </c>
      <c r="G28" s="248">
        <v>152</v>
      </c>
      <c r="H28" s="248"/>
      <c r="I28" s="248"/>
      <c r="J28" s="248"/>
      <c r="K28" s="248"/>
      <c r="L28" s="248"/>
      <c r="M28" s="248"/>
      <c r="N28" s="248"/>
      <c r="O28" s="248"/>
      <c r="P28" s="248"/>
      <c r="S28" s="229">
        <f>COUNTIF(E28:P28,"&gt;0")</f>
        <v>3</v>
      </c>
    </row>
    <row r="29" spans="1:19" ht="15" customHeight="1">
      <c r="A29" s="544" t="s">
        <v>327</v>
      </c>
      <c r="B29" s="545"/>
      <c r="C29" s="247" t="s">
        <v>199</v>
      </c>
      <c r="D29" s="248">
        <f>ROUND((E29+F29+G29+H29+I29+J29+K29+L29+M29+N29+O29+P29)/S29,0)</f>
        <v>152</v>
      </c>
      <c r="E29" s="248">
        <f>'[2]мун.задание'!D71</f>
        <v>152</v>
      </c>
      <c r="F29" s="248">
        <f>'[2]мун.задание'!E71</f>
        <v>152</v>
      </c>
      <c r="G29" s="248">
        <v>152</v>
      </c>
      <c r="H29" s="248"/>
      <c r="I29" s="248"/>
      <c r="J29" s="248"/>
      <c r="K29" s="248"/>
      <c r="L29" s="248"/>
      <c r="M29" s="248"/>
      <c r="N29" s="248"/>
      <c r="O29" s="248"/>
      <c r="P29" s="248"/>
      <c r="S29" s="229">
        <f>COUNTIF(E29:P29,"&gt;0")</f>
        <v>3</v>
      </c>
    </row>
    <row r="30" spans="1:16" ht="22.5" customHeight="1">
      <c r="A30" s="542" t="s">
        <v>328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43"/>
    </row>
    <row r="31" spans="1:19" ht="63" customHeight="1">
      <c r="A31" s="544" t="s">
        <v>329</v>
      </c>
      <c r="B31" s="545"/>
      <c r="C31" s="247" t="s">
        <v>199</v>
      </c>
      <c r="D31" s="248">
        <f>ROUND((E31+F31+G31+H31+I31+J31+K31+L31+M31+N31+O31+P31)/S31,0)</f>
        <v>152</v>
      </c>
      <c r="E31" s="248">
        <f aca="true" t="shared" si="1" ref="E31:P31">E32</f>
        <v>152</v>
      </c>
      <c r="F31" s="248">
        <f t="shared" si="1"/>
        <v>152</v>
      </c>
      <c r="G31" s="248">
        <f t="shared" si="1"/>
        <v>152</v>
      </c>
      <c r="H31" s="248">
        <f t="shared" si="1"/>
        <v>0</v>
      </c>
      <c r="I31" s="248">
        <f t="shared" si="1"/>
        <v>0</v>
      </c>
      <c r="J31" s="248">
        <f t="shared" si="1"/>
        <v>0</v>
      </c>
      <c r="K31" s="248">
        <f t="shared" si="1"/>
        <v>0</v>
      </c>
      <c r="L31" s="248">
        <f t="shared" si="1"/>
        <v>0</v>
      </c>
      <c r="M31" s="248">
        <f t="shared" si="1"/>
        <v>0</v>
      </c>
      <c r="N31" s="248">
        <f t="shared" si="1"/>
        <v>0</v>
      </c>
      <c r="O31" s="248">
        <f t="shared" si="1"/>
        <v>0</v>
      </c>
      <c r="P31" s="248">
        <f t="shared" si="1"/>
        <v>0</v>
      </c>
      <c r="S31" s="229">
        <f>COUNTIF(E31:P31,"&gt;0")</f>
        <v>3</v>
      </c>
    </row>
    <row r="32" spans="1:19" ht="12.75">
      <c r="A32" s="544" t="s">
        <v>325</v>
      </c>
      <c r="B32" s="545"/>
      <c r="C32" s="247" t="s">
        <v>199</v>
      </c>
      <c r="D32" s="248">
        <f>ROUND((E32+F32+G32+H32+I32+J32+K32+L32+M32+N32+O32+P32)/S32,0)</f>
        <v>152</v>
      </c>
      <c r="E32" s="248">
        <f>E27</f>
        <v>152</v>
      </c>
      <c r="F32" s="248">
        <f aca="true" t="shared" si="2" ref="F32:P32">F27</f>
        <v>152</v>
      </c>
      <c r="G32" s="248">
        <f t="shared" si="2"/>
        <v>152</v>
      </c>
      <c r="H32" s="248">
        <f t="shared" si="2"/>
        <v>0</v>
      </c>
      <c r="I32" s="248">
        <f t="shared" si="2"/>
        <v>0</v>
      </c>
      <c r="J32" s="248">
        <f t="shared" si="2"/>
        <v>0</v>
      </c>
      <c r="K32" s="248">
        <f t="shared" si="2"/>
        <v>0</v>
      </c>
      <c r="L32" s="248">
        <f t="shared" si="2"/>
        <v>0</v>
      </c>
      <c r="M32" s="248">
        <f t="shared" si="2"/>
        <v>0</v>
      </c>
      <c r="N32" s="248">
        <f t="shared" si="2"/>
        <v>0</v>
      </c>
      <c r="O32" s="248">
        <f t="shared" si="2"/>
        <v>0</v>
      </c>
      <c r="P32" s="248">
        <f t="shared" si="2"/>
        <v>0</v>
      </c>
      <c r="S32" s="229">
        <f>COUNTIF(E32:P32,"&gt;0")</f>
        <v>3</v>
      </c>
    </row>
    <row r="33" spans="1:19" ht="13.5" customHeight="1">
      <c r="A33" s="544" t="s">
        <v>326</v>
      </c>
      <c r="B33" s="545"/>
      <c r="C33" s="247" t="s">
        <v>199</v>
      </c>
      <c r="D33" s="248">
        <f>ROUND((E33+F33+G33+H33+I33+J33+K33+L33+M33+N33+O33+P33)/S33,0)</f>
        <v>152</v>
      </c>
      <c r="E33" s="248">
        <f aca="true" t="shared" si="3" ref="E33:P34">E28</f>
        <v>152</v>
      </c>
      <c r="F33" s="248">
        <f t="shared" si="3"/>
        <v>152</v>
      </c>
      <c r="G33" s="248">
        <f t="shared" si="3"/>
        <v>152</v>
      </c>
      <c r="H33" s="248">
        <f t="shared" si="3"/>
        <v>0</v>
      </c>
      <c r="I33" s="248">
        <f t="shared" si="3"/>
        <v>0</v>
      </c>
      <c r="J33" s="248">
        <f t="shared" si="3"/>
        <v>0</v>
      </c>
      <c r="K33" s="248">
        <f t="shared" si="3"/>
        <v>0</v>
      </c>
      <c r="L33" s="248">
        <f t="shared" si="3"/>
        <v>0</v>
      </c>
      <c r="M33" s="248">
        <f t="shared" si="3"/>
        <v>0</v>
      </c>
      <c r="N33" s="248">
        <f t="shared" si="3"/>
        <v>0</v>
      </c>
      <c r="O33" s="248">
        <f t="shared" si="3"/>
        <v>0</v>
      </c>
      <c r="P33" s="248">
        <f t="shared" si="3"/>
        <v>0</v>
      </c>
      <c r="S33" s="229">
        <f>COUNTIF(E33:P33,"&gt;0")</f>
        <v>3</v>
      </c>
    </row>
    <row r="34" spans="1:19" ht="13.5" customHeight="1">
      <c r="A34" s="544" t="s">
        <v>327</v>
      </c>
      <c r="B34" s="545"/>
      <c r="C34" s="247" t="s">
        <v>199</v>
      </c>
      <c r="D34" s="248">
        <f>ROUND((E34+F34+G34+H34+I34+J34+K34+L34+M34+N34+O34+P34)/S34,0)</f>
        <v>152</v>
      </c>
      <c r="E34" s="248">
        <f t="shared" si="3"/>
        <v>152</v>
      </c>
      <c r="F34" s="248">
        <f t="shared" si="3"/>
        <v>152</v>
      </c>
      <c r="G34" s="248">
        <f t="shared" si="3"/>
        <v>152</v>
      </c>
      <c r="H34" s="248">
        <f t="shared" si="3"/>
        <v>0</v>
      </c>
      <c r="I34" s="248">
        <f t="shared" si="3"/>
        <v>0</v>
      </c>
      <c r="J34" s="248">
        <f t="shared" si="3"/>
        <v>0</v>
      </c>
      <c r="K34" s="248">
        <f t="shared" si="3"/>
        <v>0</v>
      </c>
      <c r="L34" s="248">
        <f t="shared" si="3"/>
        <v>0</v>
      </c>
      <c r="M34" s="248">
        <f t="shared" si="3"/>
        <v>0</v>
      </c>
      <c r="N34" s="248">
        <f t="shared" si="3"/>
        <v>0</v>
      </c>
      <c r="O34" s="248">
        <f t="shared" si="3"/>
        <v>0</v>
      </c>
      <c r="P34" s="248">
        <f t="shared" si="3"/>
        <v>0</v>
      </c>
      <c r="S34" s="229">
        <f>COUNTIF(E34:P34,"&gt;0")</f>
        <v>3</v>
      </c>
    </row>
    <row r="38" spans="1:17" s="241" customFormat="1" ht="15">
      <c r="A38" s="241" t="s">
        <v>330</v>
      </c>
      <c r="Q38" s="242"/>
    </row>
    <row r="40" spans="1:16" ht="31.5" customHeight="1">
      <c r="A40" s="534" t="s">
        <v>320</v>
      </c>
      <c r="B40" s="536"/>
      <c r="C40" s="534" t="s">
        <v>331</v>
      </c>
      <c r="D40" s="536"/>
      <c r="E40" s="244"/>
      <c r="F40" s="244"/>
      <c r="G40" s="244"/>
      <c r="H40" s="244"/>
      <c r="I40" s="244"/>
      <c r="J40" s="244"/>
      <c r="K40" s="244"/>
      <c r="L40" s="244"/>
      <c r="M40" s="244"/>
      <c r="N40" s="534" t="s">
        <v>332</v>
      </c>
      <c r="O40" s="535"/>
      <c r="P40" s="536"/>
    </row>
    <row r="41" spans="1:16" ht="19.5" customHeight="1">
      <c r="A41" s="542" t="s">
        <v>323</v>
      </c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43"/>
    </row>
    <row r="42" spans="1:20" ht="67.5" customHeight="1">
      <c r="A42" s="559" t="s">
        <v>333</v>
      </c>
      <c r="B42" s="560"/>
      <c r="C42" s="561">
        <f>C43+C46</f>
        <v>9414.59829</v>
      </c>
      <c r="D42" s="562"/>
      <c r="E42" s="289">
        <f>E43+E46</f>
        <v>2394.9598400000004</v>
      </c>
      <c r="F42" s="289">
        <f aca="true" t="shared" si="4" ref="F42:P42">F43+F46</f>
        <v>2172.8391</v>
      </c>
      <c r="G42" s="289">
        <f t="shared" si="4"/>
        <v>845.55913</v>
      </c>
      <c r="H42" s="289">
        <f t="shared" si="4"/>
        <v>0</v>
      </c>
      <c r="I42" s="289">
        <f t="shared" si="4"/>
        <v>0</v>
      </c>
      <c r="J42" s="289">
        <f t="shared" si="4"/>
        <v>0</v>
      </c>
      <c r="K42" s="289">
        <f t="shared" si="4"/>
        <v>0</v>
      </c>
      <c r="L42" s="289">
        <f t="shared" si="4"/>
        <v>0</v>
      </c>
      <c r="M42" s="289">
        <f t="shared" si="4"/>
        <v>0</v>
      </c>
      <c r="N42" s="289">
        <f t="shared" si="4"/>
        <v>0</v>
      </c>
      <c r="O42" s="289">
        <f t="shared" si="4"/>
        <v>0</v>
      </c>
      <c r="P42" s="289">
        <f t="shared" si="4"/>
        <v>0</v>
      </c>
      <c r="Q42" s="249">
        <f>Q43+Q46</f>
        <v>0</v>
      </c>
      <c r="R42" s="249">
        <f>R43+R46</f>
        <v>0</v>
      </c>
      <c r="T42" s="268">
        <f>C42-C58</f>
        <v>35.83165000000008</v>
      </c>
    </row>
    <row r="43" spans="1:20" s="251" customFormat="1" ht="67.5" customHeight="1">
      <c r="A43" s="552" t="s">
        <v>334</v>
      </c>
      <c r="B43" s="553"/>
      <c r="C43" s="556">
        <f>SUM(C44:D45)</f>
        <v>9206.51429</v>
      </c>
      <c r="D43" s="557"/>
      <c r="E43" s="371">
        <f>SUM(E44:E45)</f>
        <v>2376.9598400000004</v>
      </c>
      <c r="F43" s="371">
        <f aca="true" t="shared" si="5" ref="F43:M43">SUM(F44:F45)</f>
        <v>2172.8391</v>
      </c>
      <c r="G43" s="371">
        <f t="shared" si="5"/>
        <v>759.51713</v>
      </c>
      <c r="H43" s="371">
        <f t="shared" si="5"/>
        <v>0</v>
      </c>
      <c r="I43" s="371">
        <f t="shared" si="5"/>
        <v>0</v>
      </c>
      <c r="J43" s="371">
        <f t="shared" si="5"/>
        <v>0</v>
      </c>
      <c r="K43" s="371">
        <f t="shared" si="5"/>
        <v>0</v>
      </c>
      <c r="L43" s="371">
        <f t="shared" si="5"/>
        <v>0</v>
      </c>
      <c r="M43" s="371">
        <f t="shared" si="5"/>
        <v>0</v>
      </c>
      <c r="N43" s="371">
        <f>SUM(N44:N45)</f>
        <v>0</v>
      </c>
      <c r="O43" s="371">
        <f>SUM(O44:O45)</f>
        <v>0</v>
      </c>
      <c r="P43" s="371">
        <f>SUM(P44:P45)</f>
        <v>0</v>
      </c>
      <c r="Q43" s="250"/>
      <c r="T43" s="268">
        <f aca="true" t="shared" si="6" ref="T43:T56">C43-C59</f>
        <v>35.712649999999485</v>
      </c>
    </row>
    <row r="44" spans="1:20" ht="15.75" customHeight="1">
      <c r="A44" s="544" t="s">
        <v>325</v>
      </c>
      <c r="B44" s="545"/>
      <c r="C44" s="546">
        <f>SUM(E44:P44)+'[2]отчет1433-1'!C44:D44</f>
        <v>3675.64769</v>
      </c>
      <c r="D44" s="547"/>
      <c r="E44" s="252">
        <f>'[2]вспомогательная таблица'!G17/1000</f>
        <v>566.95</v>
      </c>
      <c r="F44" s="252">
        <f>'[2]вспомогательная таблица'!H17/1000</f>
        <v>726.47031</v>
      </c>
      <c r="G44" s="252">
        <f>'[2]вспомогательная таблица'!I17/1000</f>
        <v>352.21638</v>
      </c>
      <c r="H44" s="252"/>
      <c r="I44" s="252"/>
      <c r="J44" s="252"/>
      <c r="K44" s="252"/>
      <c r="L44" s="252"/>
      <c r="M44" s="252"/>
      <c r="N44" s="253"/>
      <c r="O44" s="253"/>
      <c r="P44" s="253"/>
      <c r="T44" s="268">
        <f t="shared" si="6"/>
        <v>-1349.6187100000006</v>
      </c>
    </row>
    <row r="45" spans="1:20" ht="15" customHeight="1">
      <c r="A45" s="544" t="s">
        <v>335</v>
      </c>
      <c r="B45" s="545"/>
      <c r="C45" s="546">
        <f>SUM(E45:P45)+'[2]отчет1433-1'!C45:D45</f>
        <v>5530.8666</v>
      </c>
      <c r="D45" s="547"/>
      <c r="E45" s="252">
        <f>'[2]вспомогательная таблица'!G18/1000</f>
        <v>1810.0098400000002</v>
      </c>
      <c r="F45" s="252">
        <f>'[2]вспомогательная таблица'!H18/1000</f>
        <v>1446.36879</v>
      </c>
      <c r="G45" s="252">
        <f>'[2]вспомогательная таблица'!I18/1000</f>
        <v>407.30075</v>
      </c>
      <c r="H45" s="252"/>
      <c r="I45" s="252"/>
      <c r="J45" s="252"/>
      <c r="K45" s="252"/>
      <c r="L45" s="252"/>
      <c r="M45" s="252"/>
      <c r="N45" s="254"/>
      <c r="O45" s="254"/>
      <c r="P45" s="254"/>
      <c r="T45" s="268">
        <f t="shared" si="6"/>
        <v>1385.331360000001</v>
      </c>
    </row>
    <row r="46" spans="1:20" s="251" customFormat="1" ht="68.25" customHeight="1">
      <c r="A46" s="552" t="s">
        <v>336</v>
      </c>
      <c r="B46" s="553"/>
      <c r="C46" s="556">
        <f>C47</f>
        <v>208.084</v>
      </c>
      <c r="D46" s="557"/>
      <c r="E46" s="371">
        <f aca="true" t="shared" si="7" ref="E46:P46">E47</f>
        <v>18</v>
      </c>
      <c r="F46" s="371">
        <f t="shared" si="7"/>
        <v>0</v>
      </c>
      <c r="G46" s="371">
        <f t="shared" si="7"/>
        <v>86.042</v>
      </c>
      <c r="H46" s="371">
        <f t="shared" si="7"/>
        <v>0</v>
      </c>
      <c r="I46" s="371">
        <f t="shared" si="7"/>
        <v>0</v>
      </c>
      <c r="J46" s="371">
        <f t="shared" si="7"/>
        <v>0</v>
      </c>
      <c r="K46" s="371">
        <f t="shared" si="7"/>
        <v>0</v>
      </c>
      <c r="L46" s="371">
        <f t="shared" si="7"/>
        <v>0</v>
      </c>
      <c r="M46" s="371">
        <f t="shared" si="7"/>
        <v>0</v>
      </c>
      <c r="N46" s="371">
        <f t="shared" si="7"/>
        <v>0</v>
      </c>
      <c r="O46" s="371">
        <f t="shared" si="7"/>
        <v>0</v>
      </c>
      <c r="P46" s="371">
        <f t="shared" si="7"/>
        <v>0</v>
      </c>
      <c r="Q46" s="250"/>
      <c r="T46" s="268">
        <f t="shared" si="6"/>
        <v>0.11899999999999977</v>
      </c>
    </row>
    <row r="47" spans="1:20" ht="15" customHeight="1">
      <c r="A47" s="544" t="s">
        <v>327</v>
      </c>
      <c r="B47" s="545"/>
      <c r="C47" s="546">
        <f>SUM(E47:P47)+'[2]отчет1433-1'!C47:D47</f>
        <v>208.084</v>
      </c>
      <c r="D47" s="547"/>
      <c r="E47" s="252">
        <f>'[2]вспомогательная таблица'!G19/1000</f>
        <v>18</v>
      </c>
      <c r="F47" s="252">
        <f>'[2]вспомогательная таблица'!D19/1000</f>
        <v>0</v>
      </c>
      <c r="G47" s="252">
        <f>'[2]вспомогательная таблица'!I19/1000</f>
        <v>86.042</v>
      </c>
      <c r="H47" s="252"/>
      <c r="I47" s="252"/>
      <c r="J47" s="252"/>
      <c r="K47" s="252"/>
      <c r="L47" s="252"/>
      <c r="M47" s="252"/>
      <c r="N47" s="257"/>
      <c r="O47" s="257"/>
      <c r="P47" s="257"/>
      <c r="T47" s="268">
        <f t="shared" si="6"/>
        <v>0.11899999999999977</v>
      </c>
    </row>
    <row r="48" spans="1:20" s="251" customFormat="1" ht="65.25" customHeight="1">
      <c r="A48" s="552" t="s">
        <v>337</v>
      </c>
      <c r="B48" s="553"/>
      <c r="C48" s="554">
        <f>SUM(C49:D56)</f>
        <v>94.873</v>
      </c>
      <c r="D48" s="555"/>
      <c r="E48" s="370">
        <f>SUM(E49:E56)</f>
        <v>64.798</v>
      </c>
      <c r="F48" s="370">
        <f>SUM(F49:F56)</f>
        <v>0</v>
      </c>
      <c r="G48" s="370">
        <f>SUM(E49:E56)</f>
        <v>64.798</v>
      </c>
      <c r="H48" s="370">
        <f aca="true" t="shared" si="8" ref="H48:P48">SUM(H49:H56)</f>
        <v>0</v>
      </c>
      <c r="I48" s="370">
        <f t="shared" si="8"/>
        <v>0</v>
      </c>
      <c r="J48" s="370">
        <f t="shared" si="8"/>
        <v>0</v>
      </c>
      <c r="K48" s="370">
        <f t="shared" si="8"/>
        <v>0</v>
      </c>
      <c r="L48" s="370">
        <f t="shared" si="8"/>
        <v>0</v>
      </c>
      <c r="M48" s="370">
        <f t="shared" si="8"/>
        <v>0</v>
      </c>
      <c r="N48" s="370">
        <f t="shared" si="8"/>
        <v>0</v>
      </c>
      <c r="O48" s="370">
        <f t="shared" si="8"/>
        <v>0</v>
      </c>
      <c r="P48" s="370">
        <f t="shared" si="8"/>
        <v>0</v>
      </c>
      <c r="Q48" s="250"/>
      <c r="T48" s="268">
        <f t="shared" si="6"/>
        <v>9.61</v>
      </c>
    </row>
    <row r="49" spans="1:20" ht="27" customHeight="1">
      <c r="A49" s="544" t="s">
        <v>338</v>
      </c>
      <c r="B49" s="545"/>
      <c r="C49" s="546">
        <f aca="true" t="shared" si="9" ref="C49:C55">SUM(E49:P49)</f>
        <v>0</v>
      </c>
      <c r="D49" s="547"/>
      <c r="E49" s="252"/>
      <c r="F49" s="252"/>
      <c r="G49" s="252"/>
      <c r="H49" s="252"/>
      <c r="I49" s="252"/>
      <c r="J49" s="252"/>
      <c r="K49" s="252"/>
      <c r="L49" s="252"/>
      <c r="M49" s="252"/>
      <c r="N49" s="257"/>
      <c r="O49" s="257"/>
      <c r="P49" s="257"/>
      <c r="T49" s="268">
        <f t="shared" si="6"/>
        <v>0</v>
      </c>
    </row>
    <row r="50" spans="1:20" ht="27.75" customHeight="1">
      <c r="A50" s="544" t="s">
        <v>248</v>
      </c>
      <c r="B50" s="545"/>
      <c r="C50" s="546">
        <f t="shared" si="9"/>
        <v>0</v>
      </c>
      <c r="D50" s="547"/>
      <c r="E50" s="252"/>
      <c r="F50" s="252"/>
      <c r="G50" s="252"/>
      <c r="H50" s="252"/>
      <c r="I50" s="252"/>
      <c r="J50" s="252"/>
      <c r="K50" s="252"/>
      <c r="L50" s="252"/>
      <c r="M50" s="252"/>
      <c r="N50" s="257"/>
      <c r="O50" s="257"/>
      <c r="P50" s="257"/>
      <c r="T50" s="268">
        <f t="shared" si="6"/>
        <v>0</v>
      </c>
    </row>
    <row r="51" spans="1:20" ht="26.25" customHeight="1">
      <c r="A51" s="544" t="s">
        <v>249</v>
      </c>
      <c r="B51" s="545"/>
      <c r="C51" s="546">
        <f t="shared" si="9"/>
        <v>0</v>
      </c>
      <c r="D51" s="547"/>
      <c r="E51" s="252"/>
      <c r="F51" s="252"/>
      <c r="G51" s="252"/>
      <c r="H51" s="252"/>
      <c r="I51" s="252"/>
      <c r="J51" s="252"/>
      <c r="K51" s="252"/>
      <c r="L51" s="252"/>
      <c r="M51" s="252"/>
      <c r="N51" s="257"/>
      <c r="O51" s="257"/>
      <c r="P51" s="257"/>
      <c r="T51" s="268">
        <f t="shared" si="6"/>
        <v>0</v>
      </c>
    </row>
    <row r="52" spans="1:20" ht="52.5" customHeight="1">
      <c r="A52" s="544" t="s">
        <v>250</v>
      </c>
      <c r="B52" s="545"/>
      <c r="C52" s="546">
        <f>SUM(E52:P52)</f>
        <v>0</v>
      </c>
      <c r="D52" s="547"/>
      <c r="E52" s="252"/>
      <c r="F52" s="252"/>
      <c r="G52" s="252"/>
      <c r="H52" s="252"/>
      <c r="I52" s="252"/>
      <c r="J52" s="252"/>
      <c r="K52" s="252"/>
      <c r="L52" s="252"/>
      <c r="M52" s="252"/>
      <c r="N52" s="257"/>
      <c r="O52" s="257"/>
      <c r="P52" s="257"/>
      <c r="T52" s="268">
        <f t="shared" si="6"/>
        <v>0</v>
      </c>
    </row>
    <row r="53" spans="1:20" ht="30" customHeight="1">
      <c r="A53" s="544" t="s">
        <v>339</v>
      </c>
      <c r="B53" s="545"/>
      <c r="C53" s="546">
        <f t="shared" si="9"/>
        <v>0</v>
      </c>
      <c r="D53" s="547"/>
      <c r="E53" s="252"/>
      <c r="F53" s="252"/>
      <c r="G53" s="252"/>
      <c r="H53" s="252"/>
      <c r="I53" s="252"/>
      <c r="J53" s="252"/>
      <c r="K53" s="252"/>
      <c r="L53" s="252"/>
      <c r="M53" s="252"/>
      <c r="N53" s="257"/>
      <c r="O53" s="257"/>
      <c r="P53" s="257"/>
      <c r="T53" s="268">
        <f t="shared" si="6"/>
        <v>0</v>
      </c>
    </row>
    <row r="54" spans="1:20" ht="15" customHeight="1">
      <c r="A54" s="544" t="s">
        <v>251</v>
      </c>
      <c r="B54" s="545"/>
      <c r="C54" s="546">
        <f t="shared" si="9"/>
        <v>0</v>
      </c>
      <c r="D54" s="547"/>
      <c r="E54" s="252">
        <f>'[2]мун.задание'!D135/1000</f>
        <v>0</v>
      </c>
      <c r="F54" s="252">
        <f>'[2]мун.задание'!E135/1000</f>
        <v>0</v>
      </c>
      <c r="G54" s="252">
        <f>'[2]мун.задание'!F135/1000</f>
        <v>0</v>
      </c>
      <c r="H54" s="252"/>
      <c r="I54" s="252"/>
      <c r="J54" s="252"/>
      <c r="K54" s="252"/>
      <c r="L54" s="252"/>
      <c r="M54" s="252"/>
      <c r="N54" s="257"/>
      <c r="O54" s="257"/>
      <c r="P54" s="257"/>
      <c r="T54" s="268">
        <f t="shared" si="6"/>
        <v>0</v>
      </c>
    </row>
    <row r="55" spans="1:20" ht="27.75" customHeight="1">
      <c r="A55" s="544" t="s">
        <v>252</v>
      </c>
      <c r="B55" s="545"/>
      <c r="C55" s="546">
        <f t="shared" si="9"/>
        <v>0</v>
      </c>
      <c r="D55" s="547"/>
      <c r="E55" s="252"/>
      <c r="F55" s="252"/>
      <c r="G55" s="252"/>
      <c r="H55" s="252"/>
      <c r="I55" s="252"/>
      <c r="J55" s="252"/>
      <c r="K55" s="252"/>
      <c r="L55" s="252"/>
      <c r="M55" s="252"/>
      <c r="N55" s="257"/>
      <c r="O55" s="257"/>
      <c r="P55" s="257"/>
      <c r="T55" s="268">
        <f t="shared" si="6"/>
        <v>0</v>
      </c>
    </row>
    <row r="56" spans="1:20" ht="30.75" customHeight="1">
      <c r="A56" s="544" t="s">
        <v>253</v>
      </c>
      <c r="B56" s="545"/>
      <c r="C56" s="546">
        <f>SUM(E56:P56)+'[2]отчет1433-1'!C56:D56</f>
        <v>94.873</v>
      </c>
      <c r="D56" s="547"/>
      <c r="E56" s="252">
        <f>'[2]мун.задание'!G138/1000</f>
        <v>64.798</v>
      </c>
      <c r="F56" s="252">
        <f>'[2]мун.задание'!H138/1000</f>
        <v>0</v>
      </c>
      <c r="G56" s="252">
        <f>'[2]мун.задание'!I138/1000</f>
        <v>0</v>
      </c>
      <c r="H56" s="252"/>
      <c r="I56" s="252"/>
      <c r="J56" s="252"/>
      <c r="K56" s="252"/>
      <c r="L56" s="252"/>
      <c r="M56" s="252"/>
      <c r="N56" s="257"/>
      <c r="O56" s="257"/>
      <c r="P56" s="257"/>
      <c r="T56" s="268">
        <f t="shared" si="6"/>
        <v>9.61</v>
      </c>
    </row>
    <row r="57" spans="1:20" ht="21.75" customHeight="1">
      <c r="A57" s="542" t="s">
        <v>328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43"/>
      <c r="T57" s="255"/>
    </row>
    <row r="58" spans="1:20" s="259" customFormat="1" ht="54.75" customHeight="1">
      <c r="A58" s="559" t="s">
        <v>333</v>
      </c>
      <c r="B58" s="560"/>
      <c r="C58" s="561">
        <f>C59+C62</f>
        <v>9378.76664</v>
      </c>
      <c r="D58" s="562"/>
      <c r="E58" s="289">
        <f aca="true" t="shared" si="10" ref="E58:P58">E59+E62</f>
        <v>2137.89644</v>
      </c>
      <c r="F58" s="289">
        <f t="shared" si="10"/>
        <v>1781.7428599999998</v>
      </c>
      <c r="G58" s="289">
        <f t="shared" si="10"/>
        <v>1457.8871199999999</v>
      </c>
      <c r="H58" s="289">
        <f t="shared" si="10"/>
        <v>0</v>
      </c>
      <c r="I58" s="289">
        <f t="shared" si="10"/>
        <v>0</v>
      </c>
      <c r="J58" s="289">
        <f t="shared" si="10"/>
        <v>0</v>
      </c>
      <c r="K58" s="289">
        <f t="shared" si="10"/>
        <v>0</v>
      </c>
      <c r="L58" s="289">
        <f t="shared" si="10"/>
        <v>0</v>
      </c>
      <c r="M58" s="289">
        <f t="shared" si="10"/>
        <v>0</v>
      </c>
      <c r="N58" s="289">
        <f t="shared" si="10"/>
        <v>0</v>
      </c>
      <c r="O58" s="289">
        <f t="shared" si="10"/>
        <v>0</v>
      </c>
      <c r="P58" s="289">
        <f t="shared" si="10"/>
        <v>0</v>
      </c>
      <c r="Q58" s="258"/>
      <c r="T58" s="260"/>
    </row>
    <row r="59" spans="1:20" ht="51.75" customHeight="1">
      <c r="A59" s="552" t="s">
        <v>334</v>
      </c>
      <c r="B59" s="553"/>
      <c r="C59" s="556">
        <f>SUM(C60:D61)</f>
        <v>9170.80164</v>
      </c>
      <c r="D59" s="557"/>
      <c r="E59" s="371">
        <f aca="true" t="shared" si="11" ref="E59:P59">SUM(E60:E61)</f>
        <v>2120.09144</v>
      </c>
      <c r="F59" s="371">
        <f t="shared" si="11"/>
        <v>1695.62486</v>
      </c>
      <c r="G59" s="371">
        <f t="shared" si="11"/>
        <v>1457.8871199999999</v>
      </c>
      <c r="H59" s="371">
        <f t="shared" si="11"/>
        <v>0</v>
      </c>
      <c r="I59" s="371">
        <f t="shared" si="11"/>
        <v>0</v>
      </c>
      <c r="J59" s="371">
        <f t="shared" si="11"/>
        <v>0</v>
      </c>
      <c r="K59" s="371">
        <f t="shared" si="11"/>
        <v>0</v>
      </c>
      <c r="L59" s="371">
        <f t="shared" si="11"/>
        <v>0</v>
      </c>
      <c r="M59" s="371">
        <f t="shared" si="11"/>
        <v>0</v>
      </c>
      <c r="N59" s="371">
        <f t="shared" si="11"/>
        <v>0</v>
      </c>
      <c r="O59" s="371">
        <f t="shared" si="11"/>
        <v>0</v>
      </c>
      <c r="P59" s="371">
        <f t="shared" si="11"/>
        <v>0</v>
      </c>
      <c r="T59" s="255"/>
    </row>
    <row r="60" spans="1:20" ht="12.75">
      <c r="A60" s="544" t="s">
        <v>325</v>
      </c>
      <c r="B60" s="545"/>
      <c r="C60" s="546">
        <f>SUM(E60:P60)+'[2]отчет1433-1'!C60:D60</f>
        <v>5025.2664</v>
      </c>
      <c r="D60" s="547"/>
      <c r="E60" s="252">
        <f>'[2]касса'!G17/1000</f>
        <v>1177.2754</v>
      </c>
      <c r="F60" s="252">
        <f>'[2]касса'!H17/1000</f>
        <v>970.266</v>
      </c>
      <c r="G60" s="252">
        <f>'[2]касса'!I17/1000</f>
        <v>660.274</v>
      </c>
      <c r="H60" s="252"/>
      <c r="I60" s="252"/>
      <c r="J60" s="252"/>
      <c r="K60" s="252"/>
      <c r="L60" s="252"/>
      <c r="M60" s="252"/>
      <c r="N60" s="253"/>
      <c r="O60" s="253"/>
      <c r="P60" s="253"/>
      <c r="T60" s="255"/>
    </row>
    <row r="61" spans="1:20" ht="12.75">
      <c r="A61" s="544" t="s">
        <v>335</v>
      </c>
      <c r="B61" s="545"/>
      <c r="C61" s="546">
        <f>SUM(E61:P61)+'[2]отчет1433-1'!C61:D61</f>
        <v>4145.535239999999</v>
      </c>
      <c r="D61" s="547"/>
      <c r="E61" s="252">
        <f>'[2]касса'!G18/1000</f>
        <v>942.8160399999999</v>
      </c>
      <c r="F61" s="252">
        <f>'[2]касса'!H18/1000</f>
        <v>725.3588599999999</v>
      </c>
      <c r="G61" s="252">
        <f>'[2]касса'!I18/1000</f>
        <v>797.6131199999999</v>
      </c>
      <c r="H61" s="252"/>
      <c r="I61" s="252"/>
      <c r="J61" s="252"/>
      <c r="K61" s="252"/>
      <c r="L61" s="252"/>
      <c r="M61" s="252"/>
      <c r="N61" s="254"/>
      <c r="O61" s="254"/>
      <c r="P61" s="254"/>
      <c r="T61" s="255"/>
    </row>
    <row r="62" spans="1:21" ht="54" customHeight="1">
      <c r="A62" s="552" t="s">
        <v>336</v>
      </c>
      <c r="B62" s="553"/>
      <c r="C62" s="556">
        <f>C63</f>
        <v>207.965</v>
      </c>
      <c r="D62" s="557"/>
      <c r="E62" s="371">
        <f aca="true" t="shared" si="12" ref="E62:P62">E63</f>
        <v>17.805</v>
      </c>
      <c r="F62" s="371">
        <f t="shared" si="12"/>
        <v>86.118</v>
      </c>
      <c r="G62" s="371">
        <f t="shared" si="12"/>
        <v>0</v>
      </c>
      <c r="H62" s="371">
        <f t="shared" si="12"/>
        <v>0</v>
      </c>
      <c r="I62" s="371">
        <f t="shared" si="12"/>
        <v>0</v>
      </c>
      <c r="J62" s="371">
        <f t="shared" si="12"/>
        <v>0</v>
      </c>
      <c r="K62" s="371">
        <f t="shared" si="12"/>
        <v>0</v>
      </c>
      <c r="L62" s="371">
        <f t="shared" si="12"/>
        <v>0</v>
      </c>
      <c r="M62" s="371">
        <f t="shared" si="12"/>
        <v>0</v>
      </c>
      <c r="N62" s="371">
        <f t="shared" si="12"/>
        <v>0</v>
      </c>
      <c r="O62" s="371">
        <f t="shared" si="12"/>
        <v>0</v>
      </c>
      <c r="P62" s="371">
        <f t="shared" si="12"/>
        <v>0</v>
      </c>
      <c r="T62" s="255"/>
      <c r="U62" s="255"/>
    </row>
    <row r="63" spans="1:21" ht="16.5" customHeight="1">
      <c r="A63" s="544" t="s">
        <v>327</v>
      </c>
      <c r="B63" s="545"/>
      <c r="C63" s="546">
        <f>SUM(E63:P63)+'[2]отчет1433-1'!C63:D63</f>
        <v>207.965</v>
      </c>
      <c r="D63" s="547"/>
      <c r="E63" s="252">
        <f>'[2]касса'!G19/1000</f>
        <v>17.805</v>
      </c>
      <c r="F63" s="252">
        <f>'[2]касса'!H19/1000</f>
        <v>86.118</v>
      </c>
      <c r="G63" s="252">
        <f>'[2]касса'!E19/1000</f>
        <v>0</v>
      </c>
      <c r="H63" s="252"/>
      <c r="I63" s="252"/>
      <c r="J63" s="252"/>
      <c r="K63" s="252"/>
      <c r="L63" s="252"/>
      <c r="M63" s="252"/>
      <c r="N63" s="252"/>
      <c r="O63" s="252"/>
      <c r="P63" s="252"/>
      <c r="T63" s="255"/>
      <c r="U63" s="255"/>
    </row>
    <row r="64" spans="1:19" ht="53.25" customHeight="1">
      <c r="A64" s="552" t="s">
        <v>337</v>
      </c>
      <c r="B64" s="553"/>
      <c r="C64" s="554">
        <f>SUM(C65:D72)</f>
        <v>85.263</v>
      </c>
      <c r="D64" s="555"/>
      <c r="E64" s="370">
        <f aca="true" t="shared" si="13" ref="E64:P64">SUM(E65:E72)</f>
        <v>0</v>
      </c>
      <c r="F64" s="370">
        <f t="shared" si="13"/>
        <v>39.5295</v>
      </c>
      <c r="G64" s="370">
        <f t="shared" si="13"/>
        <v>15.6585</v>
      </c>
      <c r="H64" s="370">
        <f t="shared" si="13"/>
        <v>0</v>
      </c>
      <c r="I64" s="370">
        <f t="shared" si="13"/>
        <v>0</v>
      </c>
      <c r="J64" s="370">
        <f t="shared" si="13"/>
        <v>0</v>
      </c>
      <c r="K64" s="370">
        <f t="shared" si="13"/>
        <v>0</v>
      </c>
      <c r="L64" s="370">
        <f t="shared" si="13"/>
        <v>0</v>
      </c>
      <c r="M64" s="370">
        <f t="shared" si="13"/>
        <v>0</v>
      </c>
      <c r="N64" s="370">
        <f t="shared" si="13"/>
        <v>0</v>
      </c>
      <c r="O64" s="370">
        <f t="shared" si="13"/>
        <v>0</v>
      </c>
      <c r="P64" s="370">
        <f t="shared" si="13"/>
        <v>0</v>
      </c>
      <c r="Q64" s="229"/>
      <c r="R64" s="255"/>
      <c r="S64" s="255"/>
    </row>
    <row r="65" spans="1:21" ht="28.5" customHeight="1">
      <c r="A65" s="544" t="s">
        <v>338</v>
      </c>
      <c r="B65" s="545"/>
      <c r="C65" s="546">
        <f aca="true" t="shared" si="14" ref="C65:C71">SUM(E65:P65)</f>
        <v>0</v>
      </c>
      <c r="D65" s="547"/>
      <c r="E65" s="252"/>
      <c r="F65" s="252"/>
      <c r="G65" s="252"/>
      <c r="H65" s="252"/>
      <c r="I65" s="252"/>
      <c r="J65" s="252"/>
      <c r="K65" s="252"/>
      <c r="L65" s="252"/>
      <c r="M65" s="252"/>
      <c r="N65" s="257"/>
      <c r="O65" s="257"/>
      <c r="P65" s="257"/>
      <c r="T65" s="255"/>
      <c r="U65" s="255"/>
    </row>
    <row r="66" spans="1:21" ht="15.75" customHeight="1">
      <c r="A66" s="544" t="s">
        <v>248</v>
      </c>
      <c r="B66" s="545"/>
      <c r="C66" s="546">
        <f t="shared" si="14"/>
        <v>0</v>
      </c>
      <c r="D66" s="547"/>
      <c r="E66" s="252"/>
      <c r="F66" s="252"/>
      <c r="G66" s="252"/>
      <c r="H66" s="252"/>
      <c r="I66" s="252"/>
      <c r="J66" s="252"/>
      <c r="K66" s="252"/>
      <c r="L66" s="252"/>
      <c r="M66" s="252"/>
      <c r="N66" s="257"/>
      <c r="O66" s="257"/>
      <c r="P66" s="257"/>
      <c r="T66" s="255"/>
      <c r="U66" s="255"/>
    </row>
    <row r="67" spans="1:21" ht="27.75" customHeight="1">
      <c r="A67" s="544" t="s">
        <v>249</v>
      </c>
      <c r="B67" s="545"/>
      <c r="C67" s="546">
        <f t="shared" si="14"/>
        <v>0</v>
      </c>
      <c r="D67" s="547"/>
      <c r="E67" s="252"/>
      <c r="F67" s="252"/>
      <c r="G67" s="252"/>
      <c r="H67" s="252"/>
      <c r="I67" s="252"/>
      <c r="J67" s="252"/>
      <c r="K67" s="252"/>
      <c r="L67" s="252"/>
      <c r="M67" s="252"/>
      <c r="N67" s="257"/>
      <c r="O67" s="257"/>
      <c r="P67" s="257"/>
      <c r="T67" s="255"/>
      <c r="U67" s="255"/>
    </row>
    <row r="68" spans="1:21" ht="27.75" customHeight="1">
      <c r="A68" s="544" t="s">
        <v>250</v>
      </c>
      <c r="B68" s="545"/>
      <c r="C68" s="546">
        <f t="shared" si="14"/>
        <v>0</v>
      </c>
      <c r="D68" s="547"/>
      <c r="E68" s="252"/>
      <c r="F68" s="252"/>
      <c r="G68" s="252"/>
      <c r="H68" s="252"/>
      <c r="I68" s="252"/>
      <c r="J68" s="252"/>
      <c r="K68" s="252"/>
      <c r="L68" s="252"/>
      <c r="M68" s="252"/>
      <c r="N68" s="257"/>
      <c r="O68" s="257"/>
      <c r="P68" s="257"/>
      <c r="T68" s="255"/>
      <c r="U68" s="255"/>
    </row>
    <row r="69" spans="1:21" ht="27" customHeight="1">
      <c r="A69" s="544" t="s">
        <v>339</v>
      </c>
      <c r="B69" s="545"/>
      <c r="C69" s="546">
        <f t="shared" si="14"/>
        <v>0</v>
      </c>
      <c r="D69" s="547"/>
      <c r="E69" s="252"/>
      <c r="F69" s="252"/>
      <c r="G69" s="252"/>
      <c r="H69" s="252"/>
      <c r="I69" s="252"/>
      <c r="J69" s="252"/>
      <c r="K69" s="252"/>
      <c r="L69" s="252"/>
      <c r="M69" s="252"/>
      <c r="N69" s="257"/>
      <c r="O69" s="257"/>
      <c r="P69" s="257"/>
      <c r="T69" s="255"/>
      <c r="U69" s="255"/>
    </row>
    <row r="70" spans="1:21" ht="37.5" customHeight="1">
      <c r="A70" s="544" t="s">
        <v>251</v>
      </c>
      <c r="B70" s="545"/>
      <c r="C70" s="546">
        <f t="shared" si="14"/>
        <v>0</v>
      </c>
      <c r="D70" s="547"/>
      <c r="E70" s="252"/>
      <c r="F70" s="252"/>
      <c r="G70" s="252"/>
      <c r="H70" s="252"/>
      <c r="I70" s="252"/>
      <c r="J70" s="252"/>
      <c r="K70" s="252"/>
      <c r="L70" s="252"/>
      <c r="M70" s="252"/>
      <c r="N70" s="257"/>
      <c r="O70" s="257"/>
      <c r="P70" s="257"/>
      <c r="T70" s="255"/>
      <c r="U70" s="255"/>
    </row>
    <row r="71" spans="1:21" ht="27.75" customHeight="1">
      <c r="A71" s="544" t="s">
        <v>252</v>
      </c>
      <c r="B71" s="545"/>
      <c r="C71" s="546">
        <f t="shared" si="14"/>
        <v>0</v>
      </c>
      <c r="D71" s="547"/>
      <c r="E71" s="252"/>
      <c r="F71" s="252"/>
      <c r="G71" s="252"/>
      <c r="H71" s="252"/>
      <c r="I71" s="252"/>
      <c r="J71" s="252"/>
      <c r="K71" s="252"/>
      <c r="L71" s="252"/>
      <c r="M71" s="252"/>
      <c r="N71" s="257"/>
      <c r="O71" s="257"/>
      <c r="P71" s="257"/>
      <c r="T71" s="255"/>
      <c r="U71" s="255"/>
    </row>
    <row r="72" spans="1:21" ht="27.75" customHeight="1">
      <c r="A72" s="544" t="s">
        <v>253</v>
      </c>
      <c r="B72" s="545"/>
      <c r="C72" s="546">
        <f>SUM(E72:P72)+'[2]отчет1433-1'!C72:D72</f>
        <v>85.263</v>
      </c>
      <c r="D72" s="547"/>
      <c r="E72" s="252"/>
      <c r="F72" s="252">
        <v>39.5295</v>
      </c>
      <c r="G72" s="252">
        <v>15.6585</v>
      </c>
      <c r="H72" s="252"/>
      <c r="I72" s="252"/>
      <c r="J72" s="252"/>
      <c r="K72" s="252"/>
      <c r="L72" s="252"/>
      <c r="M72" s="252"/>
      <c r="N72" s="257"/>
      <c r="O72" s="257"/>
      <c r="P72" s="257"/>
      <c r="T72" s="255"/>
      <c r="U72" s="255"/>
    </row>
    <row r="74" spans="14:16" ht="12.75">
      <c r="N74" s="255"/>
      <c r="O74" s="255"/>
      <c r="P74" s="255"/>
    </row>
    <row r="75" spans="1:17" s="241" customFormat="1" ht="15">
      <c r="A75" s="241" t="s">
        <v>340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P75" s="261"/>
      <c r="Q75" s="242"/>
    </row>
    <row r="76" spans="4:17" s="241" customFormat="1" ht="15" hidden="1"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P76" s="261"/>
      <c r="Q76" s="242"/>
    </row>
    <row r="77" spans="1:17" s="241" customFormat="1" ht="15">
      <c r="A77" s="241" t="s">
        <v>341</v>
      </c>
      <c r="P77" s="261"/>
      <c r="Q77" s="242"/>
    </row>
    <row r="78" spans="14:17" s="232" customFormat="1" ht="15">
      <c r="N78" s="262"/>
      <c r="Q78" s="235"/>
    </row>
    <row r="79" spans="1:9" s="232" customFormat="1" ht="15" customHeight="1">
      <c r="A79" s="540" t="s">
        <v>342</v>
      </c>
      <c r="B79" s="540" t="s">
        <v>311</v>
      </c>
      <c r="C79" s="548" t="s">
        <v>343</v>
      </c>
      <c r="D79" s="549"/>
      <c r="E79" s="263"/>
      <c r="F79" s="529" t="s">
        <v>344</v>
      </c>
      <c r="G79" s="530"/>
      <c r="I79" s="235"/>
    </row>
    <row r="80" spans="1:9" s="232" customFormat="1" ht="15" customHeight="1">
      <c r="A80" s="540"/>
      <c r="B80" s="540"/>
      <c r="C80" s="550"/>
      <c r="D80" s="551"/>
      <c r="E80" s="264"/>
      <c r="F80" s="531"/>
      <c r="G80" s="532"/>
      <c r="I80" s="235"/>
    </row>
    <row r="81" spans="1:9" s="232" customFormat="1" ht="24.75" customHeight="1">
      <c r="A81" s="265"/>
      <c r="B81" s="266"/>
      <c r="C81" s="542"/>
      <c r="D81" s="543"/>
      <c r="E81" s="246" t="s">
        <v>345</v>
      </c>
      <c r="F81" s="527" t="s">
        <v>345</v>
      </c>
      <c r="G81" s="528"/>
      <c r="I81" s="235"/>
    </row>
    <row r="82" spans="1:9" s="232" customFormat="1" ht="25.5" customHeight="1">
      <c r="A82" s="265"/>
      <c r="B82" s="266"/>
      <c r="C82" s="542"/>
      <c r="D82" s="543"/>
      <c r="E82" s="246"/>
      <c r="F82" s="527"/>
      <c r="G82" s="528"/>
      <c r="I82" s="235"/>
    </row>
    <row r="83" spans="1:9" s="232" customFormat="1" ht="26.25" customHeight="1">
      <c r="A83" s="265"/>
      <c r="B83" s="266"/>
      <c r="C83" s="542"/>
      <c r="D83" s="543"/>
      <c r="E83" s="246"/>
      <c r="F83" s="527"/>
      <c r="G83" s="528"/>
      <c r="I83" s="235"/>
    </row>
    <row r="84" spans="6:17" ht="15">
      <c r="F84" s="267"/>
      <c r="I84" s="231"/>
      <c r="Q84" s="229"/>
    </row>
    <row r="85" spans="6:17" ht="15">
      <c r="F85" s="267"/>
      <c r="I85" s="231"/>
      <c r="Q85" s="229"/>
    </row>
    <row r="86" spans="1:9" s="241" customFormat="1" ht="15">
      <c r="A86" s="241" t="s">
        <v>346</v>
      </c>
      <c r="F86" s="262"/>
      <c r="I86" s="242"/>
    </row>
    <row r="87" spans="6:17" ht="15">
      <c r="F87" s="267"/>
      <c r="I87" s="231"/>
      <c r="Q87" s="229"/>
    </row>
    <row r="88" spans="1:17" ht="12.75" customHeight="1">
      <c r="A88" s="540" t="s">
        <v>342</v>
      </c>
      <c r="B88" s="540" t="s">
        <v>311</v>
      </c>
      <c r="C88" s="548" t="s">
        <v>347</v>
      </c>
      <c r="D88" s="549"/>
      <c r="E88" s="263"/>
      <c r="F88" s="529" t="s">
        <v>348</v>
      </c>
      <c r="G88" s="530"/>
      <c r="I88" s="231"/>
      <c r="Q88" s="229"/>
    </row>
    <row r="89" spans="1:17" ht="12.75">
      <c r="A89" s="540"/>
      <c r="B89" s="540"/>
      <c r="C89" s="550"/>
      <c r="D89" s="551"/>
      <c r="E89" s="264"/>
      <c r="F89" s="531"/>
      <c r="G89" s="532"/>
      <c r="I89" s="231"/>
      <c r="Q89" s="229"/>
    </row>
    <row r="90" spans="1:17" ht="24.75" customHeight="1">
      <c r="A90" s="265"/>
      <c r="B90" s="266"/>
      <c r="C90" s="542"/>
      <c r="D90" s="543"/>
      <c r="E90" s="246" t="s">
        <v>345</v>
      </c>
      <c r="F90" s="527" t="s">
        <v>345</v>
      </c>
      <c r="G90" s="528"/>
      <c r="I90" s="231"/>
      <c r="Q90" s="229"/>
    </row>
    <row r="91" spans="1:17" ht="23.25" customHeight="1">
      <c r="A91" s="265"/>
      <c r="B91" s="266"/>
      <c r="C91" s="542"/>
      <c r="D91" s="543"/>
      <c r="E91" s="246"/>
      <c r="F91" s="527"/>
      <c r="G91" s="528"/>
      <c r="I91" s="231"/>
      <c r="Q91" s="229"/>
    </row>
    <row r="92" spans="1:17" ht="26.25" customHeight="1">
      <c r="A92" s="265"/>
      <c r="B92" s="266"/>
      <c r="C92" s="542"/>
      <c r="D92" s="543"/>
      <c r="E92" s="246"/>
      <c r="F92" s="527"/>
      <c r="G92" s="528"/>
      <c r="I92" s="231"/>
      <c r="Q92" s="229"/>
    </row>
    <row r="93" spans="4:14" ht="15"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7"/>
    </row>
    <row r="94" ht="15">
      <c r="N94" s="267"/>
    </row>
    <row r="95" spans="1:17" s="269" customFormat="1" ht="15">
      <c r="A95" s="241" t="s">
        <v>349</v>
      </c>
      <c r="B95" s="241"/>
      <c r="N95" s="267"/>
      <c r="Q95" s="270"/>
    </row>
    <row r="96" ht="15">
      <c r="N96" s="267"/>
    </row>
    <row r="97" spans="1:5" s="232" customFormat="1" ht="15" customHeight="1">
      <c r="A97" s="540" t="s">
        <v>342</v>
      </c>
      <c r="B97" s="540" t="s">
        <v>350</v>
      </c>
      <c r="C97" s="540" t="s">
        <v>259</v>
      </c>
      <c r="D97" s="540" t="s">
        <v>260</v>
      </c>
      <c r="E97" s="541" t="s">
        <v>351</v>
      </c>
    </row>
    <row r="98" spans="1:5" s="232" customFormat="1" ht="22.5" customHeight="1">
      <c r="A98" s="540"/>
      <c r="B98" s="540"/>
      <c r="C98" s="540"/>
      <c r="D98" s="540"/>
      <c r="E98" s="541"/>
    </row>
    <row r="99" spans="1:5" s="232" customFormat="1" ht="63.75">
      <c r="A99" s="265">
        <v>1</v>
      </c>
      <c r="B99" s="271" t="s">
        <v>267</v>
      </c>
      <c r="C99" s="272"/>
      <c r="D99" s="273" t="s">
        <v>352</v>
      </c>
      <c r="E99" s="273" t="s">
        <v>352</v>
      </c>
    </row>
    <row r="100" spans="1:17" ht="13.5" customHeight="1">
      <c r="A100" s="265">
        <v>2</v>
      </c>
      <c r="B100" s="274" t="s">
        <v>269</v>
      </c>
      <c r="C100" s="272"/>
      <c r="D100" s="245" t="s">
        <v>270</v>
      </c>
      <c r="E100" s="248" t="s">
        <v>345</v>
      </c>
      <c r="Q100" s="229"/>
    </row>
    <row r="101" spans="1:17" ht="38.25">
      <c r="A101" s="265">
        <v>3</v>
      </c>
      <c r="B101" s="274" t="s">
        <v>271</v>
      </c>
      <c r="C101" s="272"/>
      <c r="D101" s="245" t="s">
        <v>272</v>
      </c>
      <c r="E101" s="245" t="s">
        <v>272</v>
      </c>
      <c r="Q101" s="229"/>
    </row>
    <row r="102" spans="1:17" ht="39" customHeight="1">
      <c r="A102" s="265">
        <v>4</v>
      </c>
      <c r="B102" s="274" t="s">
        <v>271</v>
      </c>
      <c r="C102" s="272"/>
      <c r="D102" s="275" t="s">
        <v>274</v>
      </c>
      <c r="E102" s="275" t="s">
        <v>274</v>
      </c>
      <c r="Q102" s="229"/>
    </row>
    <row r="103" spans="1:17" ht="12.75">
      <c r="A103" s="276"/>
      <c r="B103" s="277"/>
      <c r="C103" s="278"/>
      <c r="D103" s="278"/>
      <c r="E103" s="278"/>
      <c r="F103" s="278"/>
      <c r="H103" s="278"/>
      <c r="K103" s="231"/>
      <c r="Q103" s="229"/>
    </row>
    <row r="104" spans="1:17" ht="12.75">
      <c r="A104" s="276"/>
      <c r="B104" s="277"/>
      <c r="C104" s="278"/>
      <c r="D104" s="278"/>
      <c r="E104" s="278"/>
      <c r="F104" s="278"/>
      <c r="H104" s="278"/>
      <c r="K104" s="231"/>
      <c r="Q104" s="229"/>
    </row>
    <row r="105" spans="1:17" ht="12.75">
      <c r="A105" s="276"/>
      <c r="B105" s="277"/>
      <c r="C105" s="278"/>
      <c r="D105" s="278"/>
      <c r="E105" s="278"/>
      <c r="F105" s="278"/>
      <c r="H105" s="278"/>
      <c r="K105" s="231"/>
      <c r="Q105" s="229"/>
    </row>
    <row r="106" spans="1:11" s="241" customFormat="1" ht="15">
      <c r="A106" s="241" t="s">
        <v>353</v>
      </c>
      <c r="K106" s="242"/>
    </row>
    <row r="107" spans="11:17" ht="12.75">
      <c r="K107" s="231"/>
      <c r="Q107" s="229"/>
    </row>
    <row r="108" spans="1:5" s="232" customFormat="1" ht="51">
      <c r="A108" s="537" t="s">
        <v>354</v>
      </c>
      <c r="B108" s="537"/>
      <c r="C108" s="245" t="s">
        <v>287</v>
      </c>
      <c r="D108" s="243" t="s">
        <v>355</v>
      </c>
      <c r="E108" s="245" t="s">
        <v>356</v>
      </c>
    </row>
    <row r="109" spans="1:5" s="232" customFormat="1" ht="42" customHeight="1">
      <c r="A109" s="538" t="s">
        <v>316</v>
      </c>
      <c r="B109" s="538"/>
      <c r="C109" s="245" t="s">
        <v>379</v>
      </c>
      <c r="D109" s="290">
        <f>C58+C64</f>
        <v>9464.02964</v>
      </c>
      <c r="E109" s="265">
        <f>D31</f>
        <v>152</v>
      </c>
    </row>
    <row r="111" s="279" customFormat="1" ht="13.5" customHeight="1" thickBot="1"/>
    <row r="112" spans="1:2" s="279" customFormat="1" ht="15">
      <c r="A112" s="280" t="s">
        <v>228</v>
      </c>
      <c r="B112" s="281" t="s">
        <v>357</v>
      </c>
    </row>
    <row r="113" spans="1:17" s="232" customFormat="1" ht="15">
      <c r="A113" s="241" t="s">
        <v>358</v>
      </c>
      <c r="Q113" s="235"/>
    </row>
    <row r="114" spans="1:17" s="232" customFormat="1" ht="15">
      <c r="A114" s="241"/>
      <c r="Q114" s="235"/>
    </row>
    <row r="115" spans="1:17" s="269" customFormat="1" ht="17.25" customHeight="1">
      <c r="A115" s="539" t="s">
        <v>359</v>
      </c>
      <c r="B115" s="539"/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Q115" s="270"/>
    </row>
    <row r="117" spans="1:17" ht="12.75">
      <c r="A117" s="563" t="s">
        <v>399</v>
      </c>
      <c r="B117" s="563"/>
      <c r="C117" s="563"/>
      <c r="D117" s="563"/>
      <c r="E117" s="282"/>
      <c r="G117" s="231"/>
      <c r="Q117" s="229"/>
    </row>
    <row r="118" spans="1:17" ht="17.25" customHeight="1">
      <c r="A118" s="283"/>
      <c r="B118" s="283"/>
      <c r="C118" s="283"/>
      <c r="D118" s="283"/>
      <c r="E118" s="283"/>
      <c r="G118" s="231"/>
      <c r="Q118" s="229"/>
    </row>
    <row r="119" spans="1:17" ht="17.25" customHeight="1">
      <c r="A119" s="283"/>
      <c r="B119" s="283"/>
      <c r="C119" s="283"/>
      <c r="D119" s="283"/>
      <c r="E119" s="283"/>
      <c r="G119" s="231"/>
      <c r="Q119" s="229"/>
    </row>
    <row r="120" spans="1:17" ht="12.75">
      <c r="A120" s="278"/>
      <c r="B120" s="278"/>
      <c r="C120" s="278"/>
      <c r="D120" s="278"/>
      <c r="E120" s="278"/>
      <c r="G120" s="231"/>
      <c r="Q120" s="229"/>
    </row>
    <row r="121" ht="12.75" hidden="1"/>
    <row r="123" spans="1:17" s="232" customFormat="1" ht="36" customHeight="1">
      <c r="A123" s="539" t="s">
        <v>360</v>
      </c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Q123" s="235"/>
    </row>
    <row r="125" spans="1:17" ht="12.75">
      <c r="A125" s="282" t="s">
        <v>400</v>
      </c>
      <c r="B125" s="282"/>
      <c r="C125" s="282"/>
      <c r="D125" s="282"/>
      <c r="E125" s="282"/>
      <c r="F125" s="282"/>
      <c r="G125" s="231"/>
      <c r="Q125" s="229"/>
    </row>
    <row r="126" spans="1:17" ht="17.25" customHeight="1">
      <c r="A126" s="283"/>
      <c r="B126" s="283"/>
      <c r="C126" s="283"/>
      <c r="D126" s="283"/>
      <c r="E126" s="283"/>
      <c r="G126" s="231"/>
      <c r="Q126" s="229"/>
    </row>
    <row r="127" spans="1:17" ht="15.75" customHeight="1">
      <c r="A127" s="283"/>
      <c r="B127" s="283"/>
      <c r="C127" s="283"/>
      <c r="D127" s="283"/>
      <c r="E127" s="283"/>
      <c r="G127" s="231"/>
      <c r="Q127" s="229"/>
    </row>
    <row r="128" spans="1:17" ht="12.75">
      <c r="A128" s="278"/>
      <c r="B128" s="278"/>
      <c r="C128" s="278"/>
      <c r="D128" s="278"/>
      <c r="E128" s="278"/>
      <c r="G128" s="231"/>
      <c r="Q128" s="229"/>
    </row>
    <row r="129" spans="7:17" ht="12.75">
      <c r="G129" s="231"/>
      <c r="Q129" s="229"/>
    </row>
    <row r="130" spans="1:17" s="241" customFormat="1" ht="27.75" customHeight="1">
      <c r="A130" s="241" t="s">
        <v>361</v>
      </c>
      <c r="Q130" s="242"/>
    </row>
    <row r="131" spans="2:17" ht="12.75">
      <c r="B131" s="278"/>
      <c r="G131" s="231"/>
      <c r="Q131" s="229"/>
    </row>
    <row r="132" spans="1:17" ht="12.75">
      <c r="A132" s="284"/>
      <c r="B132" s="284" t="s">
        <v>401</v>
      </c>
      <c r="C132" s="284"/>
      <c r="D132" s="284"/>
      <c r="E132" s="284"/>
      <c r="G132" s="231"/>
      <c r="Q132" s="229"/>
    </row>
    <row r="133" spans="1:17" ht="16.5" customHeight="1">
      <c r="A133" s="283"/>
      <c r="B133" s="283"/>
      <c r="C133" s="283"/>
      <c r="D133" s="283"/>
      <c r="E133" s="283"/>
      <c r="G133" s="231"/>
      <c r="Q133" s="229"/>
    </row>
    <row r="134" spans="1:17" ht="15.75" customHeight="1">
      <c r="A134" s="283"/>
      <c r="B134" s="283"/>
      <c r="C134" s="283"/>
      <c r="D134" s="283"/>
      <c r="E134" s="283"/>
      <c r="G134" s="231"/>
      <c r="Q134" s="229"/>
    </row>
    <row r="135" spans="1:14" ht="12.7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</row>
    <row r="136" spans="1:14" ht="12.7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</row>
    <row r="137" spans="1:14" ht="12.7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</row>
    <row r="140" spans="1:13" s="232" customFormat="1" ht="16.5">
      <c r="A140" s="533" t="s">
        <v>385</v>
      </c>
      <c r="B140" s="533"/>
      <c r="D140" s="291"/>
      <c r="L140" s="291" t="s">
        <v>157</v>
      </c>
      <c r="M140" s="232" t="s">
        <v>310</v>
      </c>
    </row>
    <row r="141" spans="1:17" s="232" customFormat="1" ht="16.5">
      <c r="A141" s="285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Q141" s="235"/>
    </row>
    <row r="142" spans="1:16" s="232" customFormat="1" ht="16.5">
      <c r="A142" s="285"/>
      <c r="B142" s="242" t="s">
        <v>311</v>
      </c>
      <c r="C142" s="364">
        <v>41456</v>
      </c>
      <c r="D142" s="242" t="s">
        <v>312</v>
      </c>
      <c r="E142" s="242"/>
      <c r="F142" s="242"/>
      <c r="G142" s="242"/>
      <c r="H142" s="242"/>
      <c r="I142" s="242"/>
      <c r="J142" s="242"/>
      <c r="K142" s="242"/>
      <c r="L142" s="242"/>
      <c r="M142" s="242"/>
      <c r="P142" s="235"/>
    </row>
    <row r="143" spans="1:3" ht="21" customHeight="1">
      <c r="A143" s="287"/>
      <c r="B143" s="288"/>
      <c r="C143" s="288"/>
    </row>
    <row r="144" spans="1:3" ht="16.5" customHeight="1">
      <c r="A144" s="287"/>
      <c r="B144" s="288"/>
      <c r="C144" s="288"/>
    </row>
    <row r="145" spans="2:3" ht="12.75" customHeight="1">
      <c r="B145" s="288"/>
      <c r="C145" s="288"/>
    </row>
    <row r="146" spans="2:3" ht="12.75" customHeight="1">
      <c r="B146" s="288"/>
      <c r="C146" s="288"/>
    </row>
    <row r="147" spans="2:3" ht="12.75" customHeight="1">
      <c r="B147" s="288"/>
      <c r="C147" s="288"/>
    </row>
    <row r="148" spans="2:3" ht="12" customHeight="1">
      <c r="B148" s="288"/>
      <c r="C148" s="288"/>
    </row>
    <row r="149" ht="12" customHeight="1">
      <c r="C149" s="288"/>
    </row>
    <row r="150" ht="13.5" customHeight="1">
      <c r="C150" s="288"/>
    </row>
  </sheetData>
  <sheetProtection/>
  <mergeCells count="110">
    <mergeCell ref="A117:D117"/>
    <mergeCell ref="A13:P13"/>
    <mergeCell ref="A14:P14"/>
    <mergeCell ref="A24:B24"/>
    <mergeCell ref="A25:P25"/>
    <mergeCell ref="A26:B26"/>
    <mergeCell ref="A27:B27"/>
    <mergeCell ref="A28:B28"/>
    <mergeCell ref="A29:B29"/>
    <mergeCell ref="A30:P30"/>
    <mergeCell ref="A31:B31"/>
    <mergeCell ref="A32:B32"/>
    <mergeCell ref="A33:B33"/>
    <mergeCell ref="A34:B34"/>
    <mergeCell ref="A40:B40"/>
    <mergeCell ref="C40:D40"/>
    <mergeCell ref="N40:P40"/>
    <mergeCell ref="A41:P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P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88:A89"/>
    <mergeCell ref="B88:B89"/>
    <mergeCell ref="C88:D89"/>
    <mergeCell ref="A79:A80"/>
    <mergeCell ref="B79:B80"/>
    <mergeCell ref="C79:D80"/>
    <mergeCell ref="C81:D81"/>
    <mergeCell ref="E97:E98"/>
    <mergeCell ref="C90:D90"/>
    <mergeCell ref="C91:D91"/>
    <mergeCell ref="C92:D92"/>
    <mergeCell ref="C82:D82"/>
    <mergeCell ref="C83:D83"/>
    <mergeCell ref="A140:B140"/>
    <mergeCell ref="E24:P24"/>
    <mergeCell ref="A108:B108"/>
    <mergeCell ref="A109:B109"/>
    <mergeCell ref="A115:O115"/>
    <mergeCell ref="A123:O123"/>
    <mergeCell ref="A97:A98"/>
    <mergeCell ref="B97:B98"/>
    <mergeCell ref="C97:C98"/>
    <mergeCell ref="D97:D98"/>
    <mergeCell ref="F81:G81"/>
    <mergeCell ref="F79:G80"/>
    <mergeCell ref="F92:G92"/>
    <mergeCell ref="F91:G91"/>
    <mergeCell ref="F90:G90"/>
    <mergeCell ref="F88:G89"/>
    <mergeCell ref="F83:G83"/>
    <mergeCell ref="F82:G82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35">
      <selection activeCell="Q23" sqref="Q23"/>
    </sheetView>
  </sheetViews>
  <sheetFormatPr defaultColWidth="9.00390625" defaultRowHeight="12.75"/>
  <cols>
    <col min="1" max="1" width="9.125" style="229" customWidth="1"/>
    <col min="2" max="2" width="52.25390625" style="229" customWidth="1"/>
    <col min="3" max="3" width="15.875" style="229" customWidth="1"/>
    <col min="4" max="4" width="18.25390625" style="229" customWidth="1"/>
    <col min="5" max="7" width="16.25390625" style="229" customWidth="1"/>
    <col min="8" max="10" width="16.75390625" style="229" hidden="1" customWidth="1"/>
    <col min="11" max="11" width="18.00390625" style="229" hidden="1" customWidth="1"/>
    <col min="12" max="12" width="17.75390625" style="229" hidden="1" customWidth="1"/>
    <col min="13" max="13" width="17.125" style="229" hidden="1" customWidth="1"/>
    <col min="14" max="14" width="16.875" style="229" hidden="1" customWidth="1"/>
    <col min="15" max="15" width="15.25390625" style="229" hidden="1" customWidth="1"/>
    <col min="16" max="16" width="15.125" style="229" hidden="1" customWidth="1"/>
    <col min="17" max="17" width="14.25390625" style="231" hidden="1" customWidth="1"/>
    <col min="18" max="18" width="16.25390625" style="229" hidden="1" customWidth="1"/>
    <col min="19" max="19" width="9.125" style="229" hidden="1" customWidth="1"/>
    <col min="20" max="20" width="9.125" style="229" customWidth="1"/>
    <col min="21" max="21" width="9.625" style="229" bestFit="1" customWidth="1"/>
    <col min="22" max="16384" width="9.125" style="229" customWidth="1"/>
  </cols>
  <sheetData>
    <row r="1" ht="11.25" customHeight="1">
      <c r="G1" s="230" t="s">
        <v>313</v>
      </c>
    </row>
    <row r="2" ht="9" customHeight="1">
      <c r="G2" s="230" t="s">
        <v>174</v>
      </c>
    </row>
    <row r="3" ht="9.75" customHeight="1">
      <c r="G3" s="230" t="s">
        <v>175</v>
      </c>
    </row>
    <row r="4" ht="9.75" customHeight="1">
      <c r="G4" s="230" t="s">
        <v>176</v>
      </c>
    </row>
    <row r="5" ht="9" customHeight="1">
      <c r="G5" s="230" t="s">
        <v>177</v>
      </c>
    </row>
    <row r="6" ht="10.5" customHeight="1">
      <c r="G6" s="230" t="s">
        <v>178</v>
      </c>
    </row>
    <row r="7" ht="9" customHeight="1">
      <c r="G7" s="230" t="s">
        <v>179</v>
      </c>
    </row>
    <row r="8" ht="9.75" customHeight="1">
      <c r="G8" s="230" t="s">
        <v>180</v>
      </c>
    </row>
    <row r="9" ht="9" customHeight="1">
      <c r="G9" s="230" t="s">
        <v>181</v>
      </c>
    </row>
    <row r="10" ht="9.75" customHeight="1">
      <c r="G10" s="230" t="s">
        <v>182</v>
      </c>
    </row>
    <row r="11" spans="2:17" s="232" customFormat="1" ht="15.75">
      <c r="B11" s="233"/>
      <c r="C11" s="234" t="s">
        <v>314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Q11" s="235"/>
    </row>
    <row r="12" spans="2:17" s="232" customFormat="1" ht="15.75">
      <c r="B12" s="233"/>
      <c r="C12" s="234" t="s">
        <v>315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Q12" s="235"/>
    </row>
    <row r="13" spans="1:17" s="232" customFormat="1" ht="33" customHeight="1">
      <c r="A13" s="564" t="s">
        <v>316</v>
      </c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235"/>
    </row>
    <row r="14" spans="1:17" s="232" customFormat="1" ht="18.75" customHeight="1">
      <c r="A14" s="565" t="s">
        <v>378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235"/>
    </row>
    <row r="15" spans="1:17" s="232" customFormat="1" ht="15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5"/>
    </row>
    <row r="16" spans="2:17" s="232" customFormat="1" ht="15.75">
      <c r="B16" s="233"/>
      <c r="C16" s="234" t="s">
        <v>391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Q16" s="235"/>
    </row>
    <row r="17" spans="2:17" s="232" customFormat="1" ht="15.75">
      <c r="B17" s="233"/>
      <c r="C17" s="234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Q17" s="235"/>
    </row>
    <row r="18" spans="1:17" s="232" customFormat="1" ht="17.25" customHeight="1">
      <c r="A18" s="237" t="s">
        <v>317</v>
      </c>
      <c r="B18" s="238"/>
      <c r="C18" s="365" t="s">
        <v>386</v>
      </c>
      <c r="D18" s="365"/>
      <c r="E18" s="239"/>
      <c r="F18" s="239"/>
      <c r="G18" s="239"/>
      <c r="H18" s="239"/>
      <c r="I18" s="239"/>
      <c r="J18" s="239"/>
      <c r="K18" s="239"/>
      <c r="L18" s="239"/>
      <c r="M18" s="239"/>
      <c r="Q18" s="235"/>
    </row>
    <row r="19" spans="2:17" s="232" customFormat="1" ht="12.75" customHeight="1" hidden="1">
      <c r="B19" s="240"/>
      <c r="C19" s="365"/>
      <c r="D19" s="365"/>
      <c r="Q19" s="235"/>
    </row>
    <row r="20" spans="2:17" s="232" customFormat="1" ht="12.75">
      <c r="B20" s="240"/>
      <c r="C20" s="365" t="s">
        <v>387</v>
      </c>
      <c r="D20" s="365"/>
      <c r="Q20" s="235"/>
    </row>
    <row r="21" spans="1:17" s="241" customFormat="1" ht="15">
      <c r="A21" s="241" t="s">
        <v>318</v>
      </c>
      <c r="C21" s="366"/>
      <c r="D21" s="366"/>
      <c r="Q21" s="242"/>
    </row>
    <row r="22" spans="1:17" s="241" customFormat="1" ht="15">
      <c r="A22" s="241" t="s">
        <v>319</v>
      </c>
      <c r="Q22" s="242"/>
    </row>
    <row r="24" spans="1:16" ht="39" customHeight="1">
      <c r="A24" s="534" t="s">
        <v>320</v>
      </c>
      <c r="B24" s="536"/>
      <c r="C24" s="245" t="s">
        <v>30</v>
      </c>
      <c r="D24" s="245" t="s">
        <v>321</v>
      </c>
      <c r="E24" s="534" t="s">
        <v>322</v>
      </c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6"/>
    </row>
    <row r="25" spans="1:16" ht="21.75" customHeight="1">
      <c r="A25" s="542" t="s">
        <v>323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43"/>
    </row>
    <row r="26" spans="1:19" ht="64.5" customHeight="1">
      <c r="A26" s="544" t="s">
        <v>324</v>
      </c>
      <c r="B26" s="545"/>
      <c r="C26" s="247" t="s">
        <v>199</v>
      </c>
      <c r="D26" s="248">
        <f>ROUND((E26+F26+G26+H26+I26+J26+K26+L26+M26+N26+O26+P26)/S26,0)</f>
        <v>152</v>
      </c>
      <c r="E26" s="248">
        <f aca="true" t="shared" si="0" ref="E26:M26">E27</f>
        <v>152</v>
      </c>
      <c r="F26" s="248">
        <f t="shared" si="0"/>
        <v>152</v>
      </c>
      <c r="G26" s="248">
        <f t="shared" si="0"/>
        <v>152</v>
      </c>
      <c r="H26" s="248">
        <f t="shared" si="0"/>
        <v>0</v>
      </c>
      <c r="I26" s="248">
        <f t="shared" si="0"/>
        <v>0</v>
      </c>
      <c r="J26" s="248">
        <f t="shared" si="0"/>
        <v>0</v>
      </c>
      <c r="K26" s="248">
        <f t="shared" si="0"/>
        <v>0</v>
      </c>
      <c r="L26" s="248">
        <f t="shared" si="0"/>
        <v>0</v>
      </c>
      <c r="M26" s="248">
        <f t="shared" si="0"/>
        <v>0</v>
      </c>
      <c r="N26" s="248">
        <f>N27</f>
        <v>0</v>
      </c>
      <c r="O26" s="248">
        <f>O27</f>
        <v>0</v>
      </c>
      <c r="P26" s="248">
        <f>P27</f>
        <v>0</v>
      </c>
      <c r="S26" s="229">
        <f>COUNTIF(E26:P26,"&gt;0")</f>
        <v>3</v>
      </c>
    </row>
    <row r="27" spans="1:19" ht="12.75">
      <c r="A27" s="544" t="s">
        <v>325</v>
      </c>
      <c r="B27" s="545"/>
      <c r="C27" s="247" t="s">
        <v>199</v>
      </c>
      <c r="D27" s="248">
        <f>ROUND((E27+F27+G27+H27+I27+J27+K27+L27+M27+N27+O27+P27)/S27,0)</f>
        <v>152</v>
      </c>
      <c r="E27" s="248">
        <f>'[1]мун.задание'!D69</f>
        <v>152</v>
      </c>
      <c r="F27" s="248">
        <f>'[1]мун.задание'!E69</f>
        <v>152</v>
      </c>
      <c r="G27" s="248">
        <f>'[1]мун.задание'!F69</f>
        <v>152</v>
      </c>
      <c r="H27" s="248"/>
      <c r="I27" s="248"/>
      <c r="J27" s="248"/>
      <c r="K27" s="248"/>
      <c r="L27" s="248"/>
      <c r="M27" s="248"/>
      <c r="N27" s="248"/>
      <c r="O27" s="248"/>
      <c r="P27" s="248"/>
      <c r="S27" s="229">
        <f>COUNTIF(E27:P27,"&gt;0")</f>
        <v>3</v>
      </c>
    </row>
    <row r="28" spans="1:19" ht="15" customHeight="1">
      <c r="A28" s="544" t="s">
        <v>326</v>
      </c>
      <c r="B28" s="545"/>
      <c r="C28" s="247" t="s">
        <v>199</v>
      </c>
      <c r="D28" s="248">
        <f>ROUND((E28+F28+G28+H28+I28+J28+K28+L28+M28+N28+O28+P28)/S28,0)</f>
        <v>152</v>
      </c>
      <c r="E28" s="248">
        <f>'[1]мун.задание'!D70</f>
        <v>152</v>
      </c>
      <c r="F28" s="248">
        <f>'[1]мун.задание'!E70</f>
        <v>152</v>
      </c>
      <c r="G28" s="248">
        <f>'[1]мун.задание'!F70</f>
        <v>152</v>
      </c>
      <c r="H28" s="248"/>
      <c r="I28" s="248"/>
      <c r="J28" s="248"/>
      <c r="K28" s="248"/>
      <c r="L28" s="248"/>
      <c r="M28" s="248"/>
      <c r="N28" s="248"/>
      <c r="O28" s="248"/>
      <c r="P28" s="248"/>
      <c r="S28" s="229">
        <f>COUNTIF(E28:P28,"&gt;0")</f>
        <v>3</v>
      </c>
    </row>
    <row r="29" spans="1:19" ht="15" customHeight="1">
      <c r="A29" s="544" t="s">
        <v>327</v>
      </c>
      <c r="B29" s="545"/>
      <c r="C29" s="247" t="s">
        <v>199</v>
      </c>
      <c r="D29" s="248">
        <f>ROUND((E29+F29+G29+H29+I29+J29+K29+L29+M29+N29+O29+P29)/S29,0)</f>
        <v>152</v>
      </c>
      <c r="E29" s="248">
        <f>'[1]мун.задание'!D71</f>
        <v>152</v>
      </c>
      <c r="F29" s="248">
        <f>'[1]мун.задание'!E71</f>
        <v>152</v>
      </c>
      <c r="G29" s="248">
        <f>'[1]мун.задание'!F71</f>
        <v>152</v>
      </c>
      <c r="H29" s="248"/>
      <c r="I29" s="248"/>
      <c r="J29" s="248"/>
      <c r="K29" s="248"/>
      <c r="L29" s="248"/>
      <c r="M29" s="248"/>
      <c r="N29" s="248"/>
      <c r="O29" s="248"/>
      <c r="P29" s="248"/>
      <c r="S29" s="229">
        <f>COUNTIF(E29:P29,"&gt;0")</f>
        <v>3</v>
      </c>
    </row>
    <row r="30" spans="1:16" ht="22.5" customHeight="1">
      <c r="A30" s="542" t="s">
        <v>328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43"/>
    </row>
    <row r="31" spans="1:19" ht="63" customHeight="1">
      <c r="A31" s="544" t="s">
        <v>329</v>
      </c>
      <c r="B31" s="545"/>
      <c r="C31" s="247" t="s">
        <v>199</v>
      </c>
      <c r="D31" s="248">
        <f>ROUND((E31+F31+G31+H31+I31+J31+K31+L31+M31+N31+O31+P31)/S31,0)</f>
        <v>152</v>
      </c>
      <c r="E31" s="248">
        <f aca="true" t="shared" si="1" ref="E31:P31">E32</f>
        <v>152</v>
      </c>
      <c r="F31" s="248">
        <f t="shared" si="1"/>
        <v>152</v>
      </c>
      <c r="G31" s="248">
        <f t="shared" si="1"/>
        <v>152</v>
      </c>
      <c r="H31" s="248">
        <f t="shared" si="1"/>
        <v>0</v>
      </c>
      <c r="I31" s="248">
        <f t="shared" si="1"/>
        <v>0</v>
      </c>
      <c r="J31" s="248">
        <f t="shared" si="1"/>
        <v>0</v>
      </c>
      <c r="K31" s="248">
        <f t="shared" si="1"/>
        <v>0</v>
      </c>
      <c r="L31" s="248">
        <f t="shared" si="1"/>
        <v>0</v>
      </c>
      <c r="M31" s="248">
        <f t="shared" si="1"/>
        <v>0</v>
      </c>
      <c r="N31" s="248">
        <f t="shared" si="1"/>
        <v>0</v>
      </c>
      <c r="O31" s="248">
        <f t="shared" si="1"/>
        <v>0</v>
      </c>
      <c r="P31" s="248">
        <f t="shared" si="1"/>
        <v>0</v>
      </c>
      <c r="S31" s="229">
        <f>COUNTIF(E31:P31,"&gt;0")</f>
        <v>3</v>
      </c>
    </row>
    <row r="32" spans="1:19" ht="12.75">
      <c r="A32" s="544" t="s">
        <v>325</v>
      </c>
      <c r="B32" s="545"/>
      <c r="C32" s="247" t="s">
        <v>199</v>
      </c>
      <c r="D32" s="248">
        <f>ROUND((E32+F32+G32+H32+I32+J32+K32+L32+M32+N32+O32+P32)/S32,0)</f>
        <v>152</v>
      </c>
      <c r="E32" s="248">
        <f>E27</f>
        <v>152</v>
      </c>
      <c r="F32" s="248">
        <f aca="true" t="shared" si="2" ref="F32:P32">F27</f>
        <v>152</v>
      </c>
      <c r="G32" s="248">
        <f t="shared" si="2"/>
        <v>152</v>
      </c>
      <c r="H32" s="248">
        <f t="shared" si="2"/>
        <v>0</v>
      </c>
      <c r="I32" s="248">
        <f t="shared" si="2"/>
        <v>0</v>
      </c>
      <c r="J32" s="248">
        <f t="shared" si="2"/>
        <v>0</v>
      </c>
      <c r="K32" s="248">
        <f t="shared" si="2"/>
        <v>0</v>
      </c>
      <c r="L32" s="248">
        <f t="shared" si="2"/>
        <v>0</v>
      </c>
      <c r="M32" s="248">
        <f t="shared" si="2"/>
        <v>0</v>
      </c>
      <c r="N32" s="248">
        <f t="shared" si="2"/>
        <v>0</v>
      </c>
      <c r="O32" s="248">
        <f t="shared" si="2"/>
        <v>0</v>
      </c>
      <c r="P32" s="248">
        <f t="shared" si="2"/>
        <v>0</v>
      </c>
      <c r="S32" s="229">
        <f>COUNTIF(E32:P32,"&gt;0")</f>
        <v>3</v>
      </c>
    </row>
    <row r="33" spans="1:19" ht="13.5" customHeight="1">
      <c r="A33" s="544" t="s">
        <v>326</v>
      </c>
      <c r="B33" s="545"/>
      <c r="C33" s="247" t="s">
        <v>199</v>
      </c>
      <c r="D33" s="248">
        <f>ROUND((E33+F33+G33+H33+I33+J33+K33+L33+M33+N33+O33+P33)/S33,0)</f>
        <v>152</v>
      </c>
      <c r="E33" s="248">
        <f aca="true" t="shared" si="3" ref="E33:P34">E28</f>
        <v>152</v>
      </c>
      <c r="F33" s="248">
        <f t="shared" si="3"/>
        <v>152</v>
      </c>
      <c r="G33" s="248">
        <f t="shared" si="3"/>
        <v>152</v>
      </c>
      <c r="H33" s="248">
        <f t="shared" si="3"/>
        <v>0</v>
      </c>
      <c r="I33" s="248">
        <f t="shared" si="3"/>
        <v>0</v>
      </c>
      <c r="J33" s="248">
        <f t="shared" si="3"/>
        <v>0</v>
      </c>
      <c r="K33" s="248">
        <f t="shared" si="3"/>
        <v>0</v>
      </c>
      <c r="L33" s="248">
        <f t="shared" si="3"/>
        <v>0</v>
      </c>
      <c r="M33" s="248">
        <f t="shared" si="3"/>
        <v>0</v>
      </c>
      <c r="N33" s="248">
        <f t="shared" si="3"/>
        <v>0</v>
      </c>
      <c r="O33" s="248">
        <f t="shared" si="3"/>
        <v>0</v>
      </c>
      <c r="P33" s="248">
        <f t="shared" si="3"/>
        <v>0</v>
      </c>
      <c r="S33" s="229">
        <f>COUNTIF(E33:P33,"&gt;0")</f>
        <v>3</v>
      </c>
    </row>
    <row r="34" spans="1:19" ht="13.5" customHeight="1">
      <c r="A34" s="544" t="s">
        <v>327</v>
      </c>
      <c r="B34" s="545"/>
      <c r="C34" s="247" t="s">
        <v>199</v>
      </c>
      <c r="D34" s="248">
        <f>ROUND((E34+F34+G34+H34+I34+J34+K34+L34+M34+N34+O34+P34)/S34,0)</f>
        <v>152</v>
      </c>
      <c r="E34" s="248">
        <f t="shared" si="3"/>
        <v>152</v>
      </c>
      <c r="F34" s="248">
        <f t="shared" si="3"/>
        <v>152</v>
      </c>
      <c r="G34" s="248">
        <f t="shared" si="3"/>
        <v>152</v>
      </c>
      <c r="H34" s="248">
        <f t="shared" si="3"/>
        <v>0</v>
      </c>
      <c r="I34" s="248">
        <f t="shared" si="3"/>
        <v>0</v>
      </c>
      <c r="J34" s="248">
        <f t="shared" si="3"/>
        <v>0</v>
      </c>
      <c r="K34" s="248">
        <f t="shared" si="3"/>
        <v>0</v>
      </c>
      <c r="L34" s="248">
        <f t="shared" si="3"/>
        <v>0</v>
      </c>
      <c r="M34" s="248">
        <f t="shared" si="3"/>
        <v>0</v>
      </c>
      <c r="N34" s="248">
        <f t="shared" si="3"/>
        <v>0</v>
      </c>
      <c r="O34" s="248">
        <f t="shared" si="3"/>
        <v>0</v>
      </c>
      <c r="P34" s="248">
        <f t="shared" si="3"/>
        <v>0</v>
      </c>
      <c r="S34" s="229">
        <f>COUNTIF(E34:P34,"&gt;0")</f>
        <v>3</v>
      </c>
    </row>
    <row r="38" spans="1:17" s="241" customFormat="1" ht="15">
      <c r="A38" s="241" t="s">
        <v>330</v>
      </c>
      <c r="Q38" s="242"/>
    </row>
    <row r="40" spans="1:16" ht="31.5" customHeight="1">
      <c r="A40" s="534" t="s">
        <v>320</v>
      </c>
      <c r="B40" s="536"/>
      <c r="C40" s="534" t="s">
        <v>331</v>
      </c>
      <c r="D40" s="536"/>
      <c r="E40" s="244"/>
      <c r="F40" s="244"/>
      <c r="G40" s="244"/>
      <c r="H40" s="244"/>
      <c r="I40" s="244"/>
      <c r="J40" s="244"/>
      <c r="K40" s="244"/>
      <c r="L40" s="244"/>
      <c r="M40" s="244"/>
      <c r="N40" s="534" t="s">
        <v>332</v>
      </c>
      <c r="O40" s="535"/>
      <c r="P40" s="536"/>
    </row>
    <row r="41" spans="1:16" ht="19.5" customHeight="1">
      <c r="A41" s="542" t="s">
        <v>323</v>
      </c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43"/>
    </row>
    <row r="42" spans="1:18" ht="67.5" customHeight="1">
      <c r="A42" s="559" t="s">
        <v>333</v>
      </c>
      <c r="B42" s="560"/>
      <c r="C42" s="561">
        <f>C43+C46</f>
        <v>4001.24022</v>
      </c>
      <c r="D42" s="562"/>
      <c r="E42" s="289">
        <f>E43+E46</f>
        <v>998.975</v>
      </c>
      <c r="F42" s="289">
        <f aca="true" t="shared" si="4" ref="F42:P42">F43+F46</f>
        <v>1474.89918</v>
      </c>
      <c r="G42" s="289">
        <f t="shared" si="4"/>
        <v>1527.3660399999999</v>
      </c>
      <c r="H42" s="289">
        <f t="shared" si="4"/>
        <v>0</v>
      </c>
      <c r="I42" s="289">
        <f t="shared" si="4"/>
        <v>0</v>
      </c>
      <c r="J42" s="289">
        <f t="shared" si="4"/>
        <v>0</v>
      </c>
      <c r="K42" s="289">
        <f t="shared" si="4"/>
        <v>0</v>
      </c>
      <c r="L42" s="289">
        <f t="shared" si="4"/>
        <v>0</v>
      </c>
      <c r="M42" s="289">
        <f t="shared" si="4"/>
        <v>0</v>
      </c>
      <c r="N42" s="289">
        <f t="shared" si="4"/>
        <v>0</v>
      </c>
      <c r="O42" s="289">
        <f t="shared" si="4"/>
        <v>0</v>
      </c>
      <c r="P42" s="289">
        <f t="shared" si="4"/>
        <v>0</v>
      </c>
      <c r="Q42" s="249">
        <f>Q43+Q46</f>
        <v>0</v>
      </c>
      <c r="R42" s="249">
        <f>R43+R46</f>
        <v>0</v>
      </c>
    </row>
    <row r="43" spans="1:17" s="251" customFormat="1" ht="67.5" customHeight="1">
      <c r="A43" s="552" t="s">
        <v>334</v>
      </c>
      <c r="B43" s="553"/>
      <c r="C43" s="556">
        <f>SUM(C44:D45)</f>
        <v>3897.19822</v>
      </c>
      <c r="D43" s="557"/>
      <c r="E43" s="369">
        <f>SUM(E44:E45)</f>
        <v>894.933</v>
      </c>
      <c r="F43" s="369">
        <f aca="true" t="shared" si="5" ref="F43:M43">SUM(F44:F45)</f>
        <v>1474.89918</v>
      </c>
      <c r="G43" s="369">
        <f t="shared" si="5"/>
        <v>1527.3660399999999</v>
      </c>
      <c r="H43" s="369">
        <f t="shared" si="5"/>
        <v>0</v>
      </c>
      <c r="I43" s="369">
        <f t="shared" si="5"/>
        <v>0</v>
      </c>
      <c r="J43" s="369">
        <f t="shared" si="5"/>
        <v>0</v>
      </c>
      <c r="K43" s="369">
        <f t="shared" si="5"/>
        <v>0</v>
      </c>
      <c r="L43" s="369">
        <f t="shared" si="5"/>
        <v>0</v>
      </c>
      <c r="M43" s="369">
        <f t="shared" si="5"/>
        <v>0</v>
      </c>
      <c r="N43" s="369">
        <f>SUM(N44:N45)</f>
        <v>0</v>
      </c>
      <c r="O43" s="369">
        <f>SUM(O44:O45)</f>
        <v>0</v>
      </c>
      <c r="P43" s="369">
        <f>SUM(P44:P45)</f>
        <v>0</v>
      </c>
      <c r="Q43" s="250"/>
    </row>
    <row r="44" spans="1:16" ht="15.75" customHeight="1">
      <c r="A44" s="544" t="s">
        <v>325</v>
      </c>
      <c r="B44" s="545"/>
      <c r="C44" s="546">
        <f>SUM(E44:P44)</f>
        <v>2030.011</v>
      </c>
      <c r="D44" s="547"/>
      <c r="E44" s="252">
        <f>'[1]вспомогательная таблица'!C17/1000</f>
        <v>338.335</v>
      </c>
      <c r="F44" s="252">
        <f>'[1]вспомогательная таблица'!D17/1000</f>
        <v>845.838</v>
      </c>
      <c r="G44" s="252">
        <f>'[1]вспомогательная таблица'!E17/1000</f>
        <v>845.838</v>
      </c>
      <c r="H44" s="252"/>
      <c r="I44" s="252"/>
      <c r="J44" s="252"/>
      <c r="K44" s="252"/>
      <c r="L44" s="252"/>
      <c r="M44" s="252"/>
      <c r="N44" s="253"/>
      <c r="O44" s="253"/>
      <c r="P44" s="253"/>
    </row>
    <row r="45" spans="1:20" ht="15" customHeight="1">
      <c r="A45" s="544" t="s">
        <v>335</v>
      </c>
      <c r="B45" s="545"/>
      <c r="C45" s="546">
        <f>SUM(E45:P45)</f>
        <v>1867.18722</v>
      </c>
      <c r="D45" s="547"/>
      <c r="E45" s="252">
        <f>'[1]вспомогательная таблица'!C18/1000</f>
        <v>556.598</v>
      </c>
      <c r="F45" s="252">
        <f>'[1]вспомогательная таблица'!D18/1000</f>
        <v>629.06118</v>
      </c>
      <c r="G45" s="252">
        <f>'[1]вспомогательная таблица'!E18/1000</f>
        <v>681.5280399999999</v>
      </c>
      <c r="H45" s="252"/>
      <c r="I45" s="252"/>
      <c r="J45" s="252"/>
      <c r="K45" s="252"/>
      <c r="L45" s="252"/>
      <c r="M45" s="252"/>
      <c r="N45" s="254"/>
      <c r="O45" s="254"/>
      <c r="P45" s="254"/>
      <c r="T45" s="255"/>
    </row>
    <row r="46" spans="1:20" s="251" customFormat="1" ht="68.25" customHeight="1">
      <c r="A46" s="552" t="s">
        <v>336</v>
      </c>
      <c r="B46" s="553"/>
      <c r="C46" s="556">
        <f>C47</f>
        <v>104.042</v>
      </c>
      <c r="D46" s="557"/>
      <c r="E46" s="369">
        <f aca="true" t="shared" si="6" ref="E46:P46">E47</f>
        <v>104.042</v>
      </c>
      <c r="F46" s="369">
        <f t="shared" si="6"/>
        <v>0</v>
      </c>
      <c r="G46" s="369">
        <f t="shared" si="6"/>
        <v>0</v>
      </c>
      <c r="H46" s="369">
        <f t="shared" si="6"/>
        <v>0</v>
      </c>
      <c r="I46" s="369">
        <f t="shared" si="6"/>
        <v>0</v>
      </c>
      <c r="J46" s="369">
        <f t="shared" si="6"/>
        <v>0</v>
      </c>
      <c r="K46" s="369">
        <f t="shared" si="6"/>
        <v>0</v>
      </c>
      <c r="L46" s="369">
        <f t="shared" si="6"/>
        <v>0</v>
      </c>
      <c r="M46" s="369">
        <f t="shared" si="6"/>
        <v>0</v>
      </c>
      <c r="N46" s="369">
        <f t="shared" si="6"/>
        <v>0</v>
      </c>
      <c r="O46" s="369">
        <f t="shared" si="6"/>
        <v>0</v>
      </c>
      <c r="P46" s="369">
        <f t="shared" si="6"/>
        <v>0</v>
      </c>
      <c r="Q46" s="250"/>
      <c r="T46" s="256"/>
    </row>
    <row r="47" spans="1:20" ht="15" customHeight="1">
      <c r="A47" s="544" t="s">
        <v>327</v>
      </c>
      <c r="B47" s="545"/>
      <c r="C47" s="546">
        <f>SUM(E47:P47)</f>
        <v>104.042</v>
      </c>
      <c r="D47" s="547"/>
      <c r="E47" s="252">
        <f>'[1]вспомогательная таблица'!C19/1000</f>
        <v>104.042</v>
      </c>
      <c r="F47" s="252">
        <f>'[1]вспомогательная таблица'!D19/1000</f>
        <v>0</v>
      </c>
      <c r="G47" s="252">
        <f>'[1]вспомогательная таблица'!E19/1000</f>
        <v>0</v>
      </c>
      <c r="H47" s="252"/>
      <c r="I47" s="252"/>
      <c r="J47" s="252"/>
      <c r="K47" s="252"/>
      <c r="L47" s="252"/>
      <c r="M47" s="252"/>
      <c r="N47" s="257"/>
      <c r="O47" s="257"/>
      <c r="P47" s="257"/>
      <c r="T47" s="255"/>
    </row>
    <row r="48" spans="1:20" s="251" customFormat="1" ht="65.25" customHeight="1">
      <c r="A48" s="552" t="s">
        <v>337</v>
      </c>
      <c r="B48" s="553"/>
      <c r="C48" s="554">
        <f>SUM(C49:D56)</f>
        <v>30.075</v>
      </c>
      <c r="D48" s="555"/>
      <c r="E48" s="368">
        <f>SUM(E49:E56)</f>
        <v>30.075</v>
      </c>
      <c r="F48" s="368">
        <f>SUM(F49:F56)</f>
        <v>0</v>
      </c>
      <c r="G48" s="368">
        <f>SUM(E49:E56)</f>
        <v>30.075</v>
      </c>
      <c r="H48" s="368">
        <f aca="true" t="shared" si="7" ref="H48:P48">SUM(H49:H56)</f>
        <v>0</v>
      </c>
      <c r="I48" s="368">
        <f t="shared" si="7"/>
        <v>0</v>
      </c>
      <c r="J48" s="368">
        <f t="shared" si="7"/>
        <v>0</v>
      </c>
      <c r="K48" s="368">
        <f t="shared" si="7"/>
        <v>0</v>
      </c>
      <c r="L48" s="368">
        <f t="shared" si="7"/>
        <v>0</v>
      </c>
      <c r="M48" s="368">
        <f t="shared" si="7"/>
        <v>0</v>
      </c>
      <c r="N48" s="368">
        <f t="shared" si="7"/>
        <v>0</v>
      </c>
      <c r="O48" s="368">
        <f t="shared" si="7"/>
        <v>0</v>
      </c>
      <c r="P48" s="368">
        <f t="shared" si="7"/>
        <v>0</v>
      </c>
      <c r="Q48" s="250"/>
      <c r="T48" s="256"/>
    </row>
    <row r="49" spans="1:20" ht="27" customHeight="1">
      <c r="A49" s="544" t="s">
        <v>338</v>
      </c>
      <c r="B49" s="545"/>
      <c r="C49" s="546">
        <f aca="true" t="shared" si="8" ref="C49:C56">SUM(E49:P49)</f>
        <v>0</v>
      </c>
      <c r="D49" s="547"/>
      <c r="E49" s="252"/>
      <c r="F49" s="252"/>
      <c r="G49" s="252"/>
      <c r="H49" s="252"/>
      <c r="I49" s="252"/>
      <c r="J49" s="252"/>
      <c r="K49" s="252"/>
      <c r="L49" s="252"/>
      <c r="M49" s="252"/>
      <c r="N49" s="257"/>
      <c r="O49" s="257"/>
      <c r="P49" s="257"/>
      <c r="T49" s="255"/>
    </row>
    <row r="50" spans="1:20" ht="27.75" customHeight="1">
      <c r="A50" s="544" t="s">
        <v>248</v>
      </c>
      <c r="B50" s="545"/>
      <c r="C50" s="546">
        <f t="shared" si="8"/>
        <v>0</v>
      </c>
      <c r="D50" s="547"/>
      <c r="E50" s="252"/>
      <c r="F50" s="252"/>
      <c r="G50" s="252"/>
      <c r="H50" s="252"/>
      <c r="I50" s="252"/>
      <c r="J50" s="252"/>
      <c r="K50" s="252"/>
      <c r="L50" s="252"/>
      <c r="M50" s="252"/>
      <c r="N50" s="257"/>
      <c r="O50" s="257"/>
      <c r="P50" s="257"/>
      <c r="T50" s="255"/>
    </row>
    <row r="51" spans="1:20" ht="26.25" customHeight="1">
      <c r="A51" s="544" t="s">
        <v>249</v>
      </c>
      <c r="B51" s="545"/>
      <c r="C51" s="546">
        <f t="shared" si="8"/>
        <v>0</v>
      </c>
      <c r="D51" s="547"/>
      <c r="E51" s="252"/>
      <c r="F51" s="252"/>
      <c r="G51" s="252"/>
      <c r="H51" s="252"/>
      <c r="I51" s="252"/>
      <c r="J51" s="252"/>
      <c r="K51" s="252"/>
      <c r="L51" s="252"/>
      <c r="M51" s="252"/>
      <c r="N51" s="257"/>
      <c r="O51" s="257"/>
      <c r="P51" s="257"/>
      <c r="T51" s="255"/>
    </row>
    <row r="52" spans="1:20" ht="52.5" customHeight="1">
      <c r="A52" s="544" t="s">
        <v>250</v>
      </c>
      <c r="B52" s="545"/>
      <c r="C52" s="546">
        <f t="shared" si="8"/>
        <v>0</v>
      </c>
      <c r="D52" s="547"/>
      <c r="E52" s="252"/>
      <c r="F52" s="252"/>
      <c r="G52" s="252"/>
      <c r="H52" s="252"/>
      <c r="I52" s="252"/>
      <c r="J52" s="252"/>
      <c r="K52" s="252"/>
      <c r="L52" s="252"/>
      <c r="M52" s="252"/>
      <c r="N52" s="257"/>
      <c r="O52" s="257"/>
      <c r="P52" s="257"/>
      <c r="T52" s="255"/>
    </row>
    <row r="53" spans="1:20" ht="30" customHeight="1">
      <c r="A53" s="544" t="s">
        <v>339</v>
      </c>
      <c r="B53" s="545"/>
      <c r="C53" s="546">
        <f t="shared" si="8"/>
        <v>0</v>
      </c>
      <c r="D53" s="547"/>
      <c r="E53" s="252"/>
      <c r="F53" s="252"/>
      <c r="G53" s="252"/>
      <c r="H53" s="252"/>
      <c r="I53" s="252"/>
      <c r="J53" s="252"/>
      <c r="K53" s="252"/>
      <c r="L53" s="252"/>
      <c r="M53" s="252"/>
      <c r="N53" s="257"/>
      <c r="O53" s="257"/>
      <c r="P53" s="257"/>
      <c r="T53" s="255"/>
    </row>
    <row r="54" spans="1:20" ht="15" customHeight="1">
      <c r="A54" s="544" t="s">
        <v>251</v>
      </c>
      <c r="B54" s="545"/>
      <c r="C54" s="546">
        <f t="shared" si="8"/>
        <v>0</v>
      </c>
      <c r="D54" s="547"/>
      <c r="E54" s="252">
        <f>'[1]мун.задание'!D135/1000</f>
        <v>0</v>
      </c>
      <c r="F54" s="252">
        <f>'[1]мун.задание'!E135/1000</f>
        <v>0</v>
      </c>
      <c r="G54" s="252">
        <f>'[1]мун.задание'!F135/1000</f>
        <v>0</v>
      </c>
      <c r="H54" s="252"/>
      <c r="I54" s="252"/>
      <c r="J54" s="252"/>
      <c r="K54" s="252"/>
      <c r="L54" s="252"/>
      <c r="M54" s="252"/>
      <c r="N54" s="257"/>
      <c r="O54" s="257"/>
      <c r="P54" s="257"/>
      <c r="T54" s="255"/>
    </row>
    <row r="55" spans="1:20" ht="27.75" customHeight="1">
      <c r="A55" s="544" t="s">
        <v>252</v>
      </c>
      <c r="B55" s="545"/>
      <c r="C55" s="546">
        <f t="shared" si="8"/>
        <v>0</v>
      </c>
      <c r="D55" s="547"/>
      <c r="E55" s="252"/>
      <c r="F55" s="252"/>
      <c r="G55" s="252"/>
      <c r="H55" s="252"/>
      <c r="I55" s="252"/>
      <c r="J55" s="252"/>
      <c r="K55" s="252"/>
      <c r="L55" s="252"/>
      <c r="M55" s="252"/>
      <c r="N55" s="257"/>
      <c r="O55" s="257"/>
      <c r="P55" s="257"/>
      <c r="T55" s="255"/>
    </row>
    <row r="56" spans="1:20" ht="30.75" customHeight="1">
      <c r="A56" s="544" t="s">
        <v>253</v>
      </c>
      <c r="B56" s="545"/>
      <c r="C56" s="546">
        <f t="shared" si="8"/>
        <v>30.075</v>
      </c>
      <c r="D56" s="547"/>
      <c r="E56" s="252">
        <f>'[1]мун.задание'!D138/1000</f>
        <v>30.075</v>
      </c>
      <c r="F56" s="252">
        <f>'[1]мун.задание'!E138/1000</f>
        <v>0</v>
      </c>
      <c r="G56" s="252">
        <f>'[1]мун.задание'!F138/1000</f>
        <v>0</v>
      </c>
      <c r="H56" s="252"/>
      <c r="I56" s="252"/>
      <c r="J56" s="252"/>
      <c r="K56" s="252"/>
      <c r="L56" s="252"/>
      <c r="M56" s="252"/>
      <c r="N56" s="257"/>
      <c r="O56" s="257"/>
      <c r="P56" s="257"/>
      <c r="T56" s="255"/>
    </row>
    <row r="57" spans="1:20" ht="21.75" customHeight="1">
      <c r="A57" s="542" t="s">
        <v>328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43"/>
      <c r="T57" s="255"/>
    </row>
    <row r="58" spans="1:20" s="259" customFormat="1" ht="54.75" customHeight="1">
      <c r="A58" s="559" t="s">
        <v>333</v>
      </c>
      <c r="B58" s="560"/>
      <c r="C58" s="561">
        <f>C59+C62</f>
        <v>4001.2402199999997</v>
      </c>
      <c r="D58" s="562"/>
      <c r="E58" s="289">
        <f aca="true" t="shared" si="9" ref="E58:P58">E59+E62</f>
        <v>1079.70625</v>
      </c>
      <c r="F58" s="289">
        <f t="shared" si="9"/>
        <v>1509.3923</v>
      </c>
      <c r="G58" s="289">
        <f t="shared" si="9"/>
        <v>1412.14167</v>
      </c>
      <c r="H58" s="289">
        <f t="shared" si="9"/>
        <v>0</v>
      </c>
      <c r="I58" s="289">
        <f t="shared" si="9"/>
        <v>0</v>
      </c>
      <c r="J58" s="289">
        <f t="shared" si="9"/>
        <v>0</v>
      </c>
      <c r="K58" s="289">
        <f t="shared" si="9"/>
        <v>0</v>
      </c>
      <c r="L58" s="289">
        <f t="shared" si="9"/>
        <v>0</v>
      </c>
      <c r="M58" s="289">
        <f t="shared" si="9"/>
        <v>0</v>
      </c>
      <c r="N58" s="289">
        <f t="shared" si="9"/>
        <v>0</v>
      </c>
      <c r="O58" s="289">
        <f t="shared" si="9"/>
        <v>0</v>
      </c>
      <c r="P58" s="289">
        <f t="shared" si="9"/>
        <v>0</v>
      </c>
      <c r="Q58" s="258"/>
      <c r="T58" s="260"/>
    </row>
    <row r="59" spans="1:20" ht="51.75" customHeight="1">
      <c r="A59" s="552" t="s">
        <v>334</v>
      </c>
      <c r="B59" s="553"/>
      <c r="C59" s="556">
        <f>SUM(C60:D61)</f>
        <v>3897.1982199999998</v>
      </c>
      <c r="D59" s="557"/>
      <c r="E59" s="369">
        <f aca="true" t="shared" si="10" ref="E59:P59">SUM(E60:E61)</f>
        <v>993.58825</v>
      </c>
      <c r="F59" s="369">
        <f t="shared" si="10"/>
        <v>1509.3923</v>
      </c>
      <c r="G59" s="369">
        <f t="shared" si="10"/>
        <v>1394.21767</v>
      </c>
      <c r="H59" s="369">
        <f t="shared" si="10"/>
        <v>0</v>
      </c>
      <c r="I59" s="369">
        <f t="shared" si="10"/>
        <v>0</v>
      </c>
      <c r="J59" s="369">
        <f t="shared" si="10"/>
        <v>0</v>
      </c>
      <c r="K59" s="369">
        <f t="shared" si="10"/>
        <v>0</v>
      </c>
      <c r="L59" s="369">
        <f t="shared" si="10"/>
        <v>0</v>
      </c>
      <c r="M59" s="369">
        <f t="shared" si="10"/>
        <v>0</v>
      </c>
      <c r="N59" s="369">
        <f t="shared" si="10"/>
        <v>0</v>
      </c>
      <c r="O59" s="369">
        <f t="shared" si="10"/>
        <v>0</v>
      </c>
      <c r="P59" s="369">
        <f t="shared" si="10"/>
        <v>0</v>
      </c>
      <c r="T59" s="255"/>
    </row>
    <row r="60" spans="1:20" ht="12.75">
      <c r="A60" s="544" t="s">
        <v>325</v>
      </c>
      <c r="B60" s="545"/>
      <c r="C60" s="546">
        <f>SUM(E60:P60)</f>
        <v>2217.451</v>
      </c>
      <c r="D60" s="547"/>
      <c r="E60" s="252">
        <f>'[1]касса'!C17/1000</f>
        <v>525.775</v>
      </c>
      <c r="F60" s="252">
        <f>'[1]касса'!D17/1000</f>
        <v>845.838</v>
      </c>
      <c r="G60" s="252">
        <f>'[1]касса'!E17/1000</f>
        <v>845.838</v>
      </c>
      <c r="H60" s="252"/>
      <c r="I60" s="252"/>
      <c r="J60" s="252"/>
      <c r="K60" s="252"/>
      <c r="L60" s="252"/>
      <c r="M60" s="252"/>
      <c r="N60" s="253"/>
      <c r="O60" s="253"/>
      <c r="P60" s="253"/>
      <c r="T60" s="255"/>
    </row>
    <row r="61" spans="1:20" ht="12.75">
      <c r="A61" s="544" t="s">
        <v>335</v>
      </c>
      <c r="B61" s="545"/>
      <c r="C61" s="546">
        <f>SUM(E61:P61)</f>
        <v>1679.7472199999997</v>
      </c>
      <c r="D61" s="547"/>
      <c r="E61" s="252">
        <f>'[1]касса'!C18/1000</f>
        <v>467.81325</v>
      </c>
      <c r="F61" s="252">
        <f>'[1]касса'!D18/1000</f>
        <v>663.5543</v>
      </c>
      <c r="G61" s="252">
        <f>'[1]касса'!E18/1000</f>
        <v>548.3796699999999</v>
      </c>
      <c r="H61" s="252"/>
      <c r="I61" s="252"/>
      <c r="J61" s="252"/>
      <c r="K61" s="252"/>
      <c r="L61" s="252"/>
      <c r="M61" s="252"/>
      <c r="N61" s="254"/>
      <c r="O61" s="254"/>
      <c r="P61" s="254"/>
      <c r="T61" s="255"/>
    </row>
    <row r="62" spans="1:21" ht="54" customHeight="1">
      <c r="A62" s="552" t="s">
        <v>336</v>
      </c>
      <c r="B62" s="553"/>
      <c r="C62" s="556">
        <f>C63</f>
        <v>104.042</v>
      </c>
      <c r="D62" s="557"/>
      <c r="E62" s="369">
        <f aca="true" t="shared" si="11" ref="E62:P62">E63</f>
        <v>86.118</v>
      </c>
      <c r="F62" s="369">
        <f t="shared" si="11"/>
        <v>0</v>
      </c>
      <c r="G62" s="369">
        <f t="shared" si="11"/>
        <v>17.924</v>
      </c>
      <c r="H62" s="369">
        <f t="shared" si="11"/>
        <v>0</v>
      </c>
      <c r="I62" s="369">
        <f t="shared" si="11"/>
        <v>0</v>
      </c>
      <c r="J62" s="369">
        <f t="shared" si="11"/>
        <v>0</v>
      </c>
      <c r="K62" s="369">
        <f t="shared" si="11"/>
        <v>0</v>
      </c>
      <c r="L62" s="369">
        <f t="shared" si="11"/>
        <v>0</v>
      </c>
      <c r="M62" s="369">
        <f t="shared" si="11"/>
        <v>0</v>
      </c>
      <c r="N62" s="369">
        <f t="shared" si="11"/>
        <v>0</v>
      </c>
      <c r="O62" s="369">
        <f t="shared" si="11"/>
        <v>0</v>
      </c>
      <c r="P62" s="369">
        <f t="shared" si="11"/>
        <v>0</v>
      </c>
      <c r="T62" s="255"/>
      <c r="U62" s="255"/>
    </row>
    <row r="63" spans="1:21" ht="16.5" customHeight="1">
      <c r="A63" s="544" t="s">
        <v>327</v>
      </c>
      <c r="B63" s="545"/>
      <c r="C63" s="546">
        <f>SUM(E63:P63)</f>
        <v>104.042</v>
      </c>
      <c r="D63" s="547"/>
      <c r="E63" s="252">
        <f>'[1]касса'!C19/1000</f>
        <v>86.118</v>
      </c>
      <c r="F63" s="252">
        <f>'[1]касса'!D19/1000</f>
        <v>0</v>
      </c>
      <c r="G63" s="252">
        <f>'[1]касса'!E19/1000</f>
        <v>17.924</v>
      </c>
      <c r="H63" s="252"/>
      <c r="I63" s="252"/>
      <c r="J63" s="252"/>
      <c r="K63" s="252"/>
      <c r="L63" s="252"/>
      <c r="M63" s="252"/>
      <c r="N63" s="252"/>
      <c r="O63" s="252"/>
      <c r="P63" s="252"/>
      <c r="T63" s="255"/>
      <c r="U63" s="255"/>
    </row>
    <row r="64" spans="1:19" ht="53.25" customHeight="1">
      <c r="A64" s="552" t="s">
        <v>337</v>
      </c>
      <c r="B64" s="553"/>
      <c r="C64" s="554">
        <f>SUM(C65:D72)</f>
        <v>30.075</v>
      </c>
      <c r="D64" s="555"/>
      <c r="E64" s="368">
        <f aca="true" t="shared" si="12" ref="E64:P64">SUM(E65:E72)</f>
        <v>20</v>
      </c>
      <c r="F64" s="368">
        <f t="shared" si="12"/>
        <v>0</v>
      </c>
      <c r="G64" s="368">
        <f t="shared" si="12"/>
        <v>10.075</v>
      </c>
      <c r="H64" s="368">
        <f t="shared" si="12"/>
        <v>0</v>
      </c>
      <c r="I64" s="368">
        <f t="shared" si="12"/>
        <v>0</v>
      </c>
      <c r="J64" s="368">
        <f t="shared" si="12"/>
        <v>0</v>
      </c>
      <c r="K64" s="368">
        <f t="shared" si="12"/>
        <v>0</v>
      </c>
      <c r="L64" s="368">
        <f t="shared" si="12"/>
        <v>0</v>
      </c>
      <c r="M64" s="368">
        <f t="shared" si="12"/>
        <v>0</v>
      </c>
      <c r="N64" s="368">
        <f t="shared" si="12"/>
        <v>0</v>
      </c>
      <c r="O64" s="368">
        <f t="shared" si="12"/>
        <v>0</v>
      </c>
      <c r="P64" s="368">
        <f t="shared" si="12"/>
        <v>0</v>
      </c>
      <c r="Q64" s="229"/>
      <c r="R64" s="255"/>
      <c r="S64" s="255"/>
    </row>
    <row r="65" spans="1:21" ht="28.5" customHeight="1">
      <c r="A65" s="544" t="s">
        <v>338</v>
      </c>
      <c r="B65" s="545"/>
      <c r="C65" s="546">
        <f aca="true" t="shared" si="13" ref="C65:C72">SUM(E65:P65)</f>
        <v>0</v>
      </c>
      <c r="D65" s="547"/>
      <c r="E65" s="252"/>
      <c r="F65" s="252"/>
      <c r="G65" s="252"/>
      <c r="H65" s="252"/>
      <c r="I65" s="252"/>
      <c r="J65" s="252"/>
      <c r="K65" s="252"/>
      <c r="L65" s="252"/>
      <c r="M65" s="252"/>
      <c r="N65" s="257"/>
      <c r="O65" s="257"/>
      <c r="P65" s="257"/>
      <c r="T65" s="255"/>
      <c r="U65" s="255"/>
    </row>
    <row r="66" spans="1:21" ht="15.75" customHeight="1">
      <c r="A66" s="544" t="s">
        <v>248</v>
      </c>
      <c r="B66" s="545"/>
      <c r="C66" s="546">
        <f t="shared" si="13"/>
        <v>0</v>
      </c>
      <c r="D66" s="547"/>
      <c r="E66" s="252"/>
      <c r="F66" s="252"/>
      <c r="G66" s="252"/>
      <c r="H66" s="252"/>
      <c r="I66" s="252"/>
      <c r="J66" s="252"/>
      <c r="K66" s="252"/>
      <c r="L66" s="252"/>
      <c r="M66" s="252"/>
      <c r="N66" s="257"/>
      <c r="O66" s="257"/>
      <c r="P66" s="257"/>
      <c r="T66" s="255"/>
      <c r="U66" s="255"/>
    </row>
    <row r="67" spans="1:21" ht="27.75" customHeight="1">
      <c r="A67" s="544" t="s">
        <v>249</v>
      </c>
      <c r="B67" s="545"/>
      <c r="C67" s="546">
        <f t="shared" si="13"/>
        <v>0</v>
      </c>
      <c r="D67" s="547"/>
      <c r="E67" s="252"/>
      <c r="F67" s="252"/>
      <c r="G67" s="252"/>
      <c r="H67" s="252"/>
      <c r="I67" s="252"/>
      <c r="J67" s="252"/>
      <c r="K67" s="252"/>
      <c r="L67" s="252"/>
      <c r="M67" s="252"/>
      <c r="N67" s="257"/>
      <c r="O67" s="257"/>
      <c r="P67" s="257"/>
      <c r="T67" s="255"/>
      <c r="U67" s="255"/>
    </row>
    <row r="68" spans="1:21" ht="27.75" customHeight="1">
      <c r="A68" s="544" t="s">
        <v>250</v>
      </c>
      <c r="B68" s="545"/>
      <c r="C68" s="546">
        <f t="shared" si="13"/>
        <v>0</v>
      </c>
      <c r="D68" s="547"/>
      <c r="E68" s="252"/>
      <c r="F68" s="252"/>
      <c r="G68" s="252"/>
      <c r="H68" s="252"/>
      <c r="I68" s="252"/>
      <c r="J68" s="252"/>
      <c r="K68" s="252"/>
      <c r="L68" s="252"/>
      <c r="M68" s="252"/>
      <c r="N68" s="257"/>
      <c r="O68" s="257"/>
      <c r="P68" s="257"/>
      <c r="T68" s="255"/>
      <c r="U68" s="255"/>
    </row>
    <row r="69" spans="1:21" ht="27" customHeight="1">
      <c r="A69" s="544" t="s">
        <v>339</v>
      </c>
      <c r="B69" s="545"/>
      <c r="C69" s="546">
        <f t="shared" si="13"/>
        <v>0</v>
      </c>
      <c r="D69" s="547"/>
      <c r="E69" s="252"/>
      <c r="F69" s="252"/>
      <c r="G69" s="252"/>
      <c r="H69" s="252"/>
      <c r="I69" s="252"/>
      <c r="J69" s="252"/>
      <c r="K69" s="252"/>
      <c r="L69" s="252"/>
      <c r="M69" s="252"/>
      <c r="N69" s="257"/>
      <c r="O69" s="257"/>
      <c r="P69" s="257"/>
      <c r="T69" s="255"/>
      <c r="U69" s="255"/>
    </row>
    <row r="70" spans="1:21" ht="37.5" customHeight="1">
      <c r="A70" s="544" t="s">
        <v>251</v>
      </c>
      <c r="B70" s="545"/>
      <c r="C70" s="546">
        <f t="shared" si="13"/>
        <v>0</v>
      </c>
      <c r="D70" s="547"/>
      <c r="E70" s="252"/>
      <c r="F70" s="252"/>
      <c r="G70" s="252"/>
      <c r="H70" s="252"/>
      <c r="I70" s="252"/>
      <c r="J70" s="252"/>
      <c r="K70" s="252"/>
      <c r="L70" s="252"/>
      <c r="M70" s="252"/>
      <c r="N70" s="257"/>
      <c r="O70" s="257"/>
      <c r="P70" s="257"/>
      <c r="T70" s="255"/>
      <c r="U70" s="255"/>
    </row>
    <row r="71" spans="1:21" ht="27.75" customHeight="1">
      <c r="A71" s="544" t="s">
        <v>252</v>
      </c>
      <c r="B71" s="545"/>
      <c r="C71" s="546">
        <f t="shared" si="13"/>
        <v>0</v>
      </c>
      <c r="D71" s="547"/>
      <c r="E71" s="252"/>
      <c r="F71" s="252"/>
      <c r="G71" s="252"/>
      <c r="H71" s="252"/>
      <c r="I71" s="252"/>
      <c r="J71" s="252"/>
      <c r="K71" s="252"/>
      <c r="L71" s="252"/>
      <c r="M71" s="252"/>
      <c r="N71" s="257"/>
      <c r="O71" s="257"/>
      <c r="P71" s="257"/>
      <c r="T71" s="255"/>
      <c r="U71" s="255"/>
    </row>
    <row r="72" spans="1:21" ht="27.75" customHeight="1">
      <c r="A72" s="544" t="s">
        <v>253</v>
      </c>
      <c r="B72" s="545"/>
      <c r="C72" s="546">
        <f t="shared" si="13"/>
        <v>30.075</v>
      </c>
      <c r="D72" s="547"/>
      <c r="E72" s="252">
        <v>20</v>
      </c>
      <c r="F72" s="252"/>
      <c r="G72" s="252">
        <v>10.075</v>
      </c>
      <c r="H72" s="252"/>
      <c r="I72" s="252"/>
      <c r="J72" s="252"/>
      <c r="K72" s="252"/>
      <c r="L72" s="252"/>
      <c r="M72" s="252"/>
      <c r="N72" s="257"/>
      <c r="O72" s="257"/>
      <c r="P72" s="257"/>
      <c r="T72" s="255"/>
      <c r="U72" s="255"/>
    </row>
    <row r="74" spans="14:16" ht="12.75">
      <c r="N74" s="255"/>
      <c r="O74" s="255"/>
      <c r="P74" s="255"/>
    </row>
    <row r="75" spans="1:17" s="241" customFormat="1" ht="15">
      <c r="A75" s="241" t="s">
        <v>340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P75" s="261"/>
      <c r="Q75" s="242"/>
    </row>
    <row r="76" spans="4:17" s="241" customFormat="1" ht="15" hidden="1"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P76" s="261"/>
      <c r="Q76" s="242"/>
    </row>
    <row r="77" spans="1:17" s="241" customFormat="1" ht="15">
      <c r="A77" s="241" t="s">
        <v>341</v>
      </c>
      <c r="P77" s="261"/>
      <c r="Q77" s="242"/>
    </row>
    <row r="78" spans="14:17" s="232" customFormat="1" ht="15">
      <c r="N78" s="262"/>
      <c r="Q78" s="235"/>
    </row>
    <row r="79" spans="1:9" s="232" customFormat="1" ht="15" customHeight="1">
      <c r="A79" s="540" t="s">
        <v>342</v>
      </c>
      <c r="B79" s="540" t="s">
        <v>311</v>
      </c>
      <c r="C79" s="548" t="s">
        <v>343</v>
      </c>
      <c r="D79" s="549"/>
      <c r="E79" s="263"/>
      <c r="F79" s="529" t="s">
        <v>344</v>
      </c>
      <c r="G79" s="530"/>
      <c r="I79" s="235"/>
    </row>
    <row r="80" spans="1:9" s="232" customFormat="1" ht="15" customHeight="1">
      <c r="A80" s="540"/>
      <c r="B80" s="540"/>
      <c r="C80" s="550"/>
      <c r="D80" s="551"/>
      <c r="E80" s="264"/>
      <c r="F80" s="531"/>
      <c r="G80" s="532"/>
      <c r="I80" s="235"/>
    </row>
    <row r="81" spans="1:9" s="232" customFormat="1" ht="24.75" customHeight="1">
      <c r="A81" s="265"/>
      <c r="B81" s="266"/>
      <c r="C81" s="542"/>
      <c r="D81" s="543"/>
      <c r="E81" s="246" t="s">
        <v>345</v>
      </c>
      <c r="F81" s="527" t="s">
        <v>345</v>
      </c>
      <c r="G81" s="528"/>
      <c r="I81" s="235"/>
    </row>
    <row r="82" spans="1:9" s="232" customFormat="1" ht="25.5" customHeight="1">
      <c r="A82" s="265"/>
      <c r="B82" s="266"/>
      <c r="C82" s="542"/>
      <c r="D82" s="543"/>
      <c r="E82" s="246"/>
      <c r="F82" s="527"/>
      <c r="G82" s="528"/>
      <c r="I82" s="235"/>
    </row>
    <row r="83" spans="1:9" s="232" customFormat="1" ht="26.25" customHeight="1">
      <c r="A83" s="265"/>
      <c r="B83" s="266"/>
      <c r="C83" s="542"/>
      <c r="D83" s="543"/>
      <c r="E83" s="246"/>
      <c r="F83" s="527"/>
      <c r="G83" s="528"/>
      <c r="I83" s="235"/>
    </row>
    <row r="84" spans="6:17" ht="15">
      <c r="F84" s="267"/>
      <c r="I84" s="231"/>
      <c r="Q84" s="229"/>
    </row>
    <row r="85" spans="6:17" ht="15">
      <c r="F85" s="267"/>
      <c r="I85" s="231"/>
      <c r="Q85" s="229"/>
    </row>
    <row r="86" spans="1:9" s="241" customFormat="1" ht="15">
      <c r="A86" s="241" t="s">
        <v>346</v>
      </c>
      <c r="F86" s="262"/>
      <c r="I86" s="242"/>
    </row>
    <row r="87" spans="6:17" ht="15">
      <c r="F87" s="267"/>
      <c r="I87" s="231"/>
      <c r="Q87" s="229"/>
    </row>
    <row r="88" spans="1:17" ht="12.75" customHeight="1">
      <c r="A88" s="540" t="s">
        <v>342</v>
      </c>
      <c r="B88" s="540" t="s">
        <v>311</v>
      </c>
      <c r="C88" s="548" t="s">
        <v>347</v>
      </c>
      <c r="D88" s="549"/>
      <c r="E88" s="263"/>
      <c r="F88" s="529" t="s">
        <v>348</v>
      </c>
      <c r="G88" s="530"/>
      <c r="I88" s="231"/>
      <c r="Q88" s="229"/>
    </row>
    <row r="89" spans="1:17" ht="12.75">
      <c r="A89" s="540"/>
      <c r="B89" s="540"/>
      <c r="C89" s="550"/>
      <c r="D89" s="551"/>
      <c r="E89" s="264"/>
      <c r="F89" s="531"/>
      <c r="G89" s="532"/>
      <c r="I89" s="231"/>
      <c r="Q89" s="229"/>
    </row>
    <row r="90" spans="1:17" ht="24.75" customHeight="1">
      <c r="A90" s="265"/>
      <c r="B90" s="266"/>
      <c r="C90" s="542"/>
      <c r="D90" s="543"/>
      <c r="E90" s="246" t="s">
        <v>345</v>
      </c>
      <c r="F90" s="527" t="s">
        <v>345</v>
      </c>
      <c r="G90" s="528"/>
      <c r="I90" s="231"/>
      <c r="Q90" s="229"/>
    </row>
    <row r="91" spans="1:17" ht="23.25" customHeight="1">
      <c r="A91" s="265"/>
      <c r="B91" s="266"/>
      <c r="C91" s="542"/>
      <c r="D91" s="543"/>
      <c r="E91" s="246"/>
      <c r="F91" s="527"/>
      <c r="G91" s="528"/>
      <c r="I91" s="231"/>
      <c r="Q91" s="229"/>
    </row>
    <row r="92" spans="1:17" ht="26.25" customHeight="1">
      <c r="A92" s="265"/>
      <c r="B92" s="266"/>
      <c r="C92" s="542"/>
      <c r="D92" s="543"/>
      <c r="E92" s="246"/>
      <c r="F92" s="527"/>
      <c r="G92" s="528"/>
      <c r="I92" s="231"/>
      <c r="Q92" s="229"/>
    </row>
    <row r="93" spans="4:14" ht="15"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7"/>
    </row>
    <row r="94" ht="15">
      <c r="N94" s="267"/>
    </row>
    <row r="95" spans="1:17" s="269" customFormat="1" ht="15">
      <c r="A95" s="241" t="s">
        <v>349</v>
      </c>
      <c r="B95" s="241"/>
      <c r="N95" s="267"/>
      <c r="Q95" s="270"/>
    </row>
    <row r="96" ht="15">
      <c r="N96" s="267"/>
    </row>
    <row r="97" spans="1:5" s="232" customFormat="1" ht="15" customHeight="1">
      <c r="A97" s="540" t="s">
        <v>342</v>
      </c>
      <c r="B97" s="540" t="s">
        <v>350</v>
      </c>
      <c r="C97" s="540" t="s">
        <v>259</v>
      </c>
      <c r="D97" s="540" t="s">
        <v>260</v>
      </c>
      <c r="E97" s="541" t="s">
        <v>351</v>
      </c>
    </row>
    <row r="98" spans="1:5" s="232" customFormat="1" ht="22.5" customHeight="1">
      <c r="A98" s="540"/>
      <c r="B98" s="540"/>
      <c r="C98" s="540"/>
      <c r="D98" s="540"/>
      <c r="E98" s="541"/>
    </row>
    <row r="99" spans="1:5" s="232" customFormat="1" ht="63.75">
      <c r="A99" s="265">
        <v>1</v>
      </c>
      <c r="B99" s="271" t="s">
        <v>267</v>
      </c>
      <c r="C99" s="272"/>
      <c r="D99" s="273" t="s">
        <v>352</v>
      </c>
      <c r="E99" s="273" t="s">
        <v>352</v>
      </c>
    </row>
    <row r="100" spans="1:17" ht="13.5" customHeight="1">
      <c r="A100" s="265">
        <v>2</v>
      </c>
      <c r="B100" s="274" t="s">
        <v>269</v>
      </c>
      <c r="C100" s="272"/>
      <c r="D100" s="245" t="s">
        <v>270</v>
      </c>
      <c r="E100" s="248" t="s">
        <v>345</v>
      </c>
      <c r="Q100" s="229"/>
    </row>
    <row r="101" spans="1:17" ht="38.25">
      <c r="A101" s="265">
        <v>3</v>
      </c>
      <c r="B101" s="274" t="s">
        <v>271</v>
      </c>
      <c r="C101" s="272"/>
      <c r="D101" s="245" t="s">
        <v>272</v>
      </c>
      <c r="E101" s="245" t="s">
        <v>272</v>
      </c>
      <c r="Q101" s="229"/>
    </row>
    <row r="102" spans="1:17" ht="39" customHeight="1">
      <c r="A102" s="265">
        <v>4</v>
      </c>
      <c r="B102" s="274" t="s">
        <v>271</v>
      </c>
      <c r="C102" s="272"/>
      <c r="D102" s="275" t="s">
        <v>274</v>
      </c>
      <c r="E102" s="275" t="s">
        <v>274</v>
      </c>
      <c r="Q102" s="229"/>
    </row>
    <row r="103" spans="1:17" ht="12.75">
      <c r="A103" s="276"/>
      <c r="B103" s="277"/>
      <c r="C103" s="278"/>
      <c r="D103" s="278"/>
      <c r="E103" s="278"/>
      <c r="F103" s="278"/>
      <c r="H103" s="278"/>
      <c r="K103" s="231"/>
      <c r="Q103" s="229"/>
    </row>
    <row r="104" spans="1:17" ht="12.75">
      <c r="A104" s="276"/>
      <c r="B104" s="277"/>
      <c r="C104" s="278"/>
      <c r="D104" s="278"/>
      <c r="E104" s="278"/>
      <c r="F104" s="278"/>
      <c r="H104" s="278"/>
      <c r="K104" s="231"/>
      <c r="Q104" s="229"/>
    </row>
    <row r="105" spans="1:17" ht="12.75">
      <c r="A105" s="276"/>
      <c r="B105" s="277"/>
      <c r="C105" s="278"/>
      <c r="D105" s="278"/>
      <c r="E105" s="278"/>
      <c r="F105" s="278"/>
      <c r="H105" s="278"/>
      <c r="K105" s="231"/>
      <c r="Q105" s="229"/>
    </row>
    <row r="106" spans="1:11" s="241" customFormat="1" ht="15">
      <c r="A106" s="241" t="s">
        <v>353</v>
      </c>
      <c r="K106" s="242"/>
    </row>
    <row r="107" spans="11:17" ht="12.75">
      <c r="K107" s="231"/>
      <c r="Q107" s="229"/>
    </row>
    <row r="108" spans="1:5" s="232" customFormat="1" ht="51">
      <c r="A108" s="537" t="s">
        <v>354</v>
      </c>
      <c r="B108" s="537"/>
      <c r="C108" s="245" t="s">
        <v>287</v>
      </c>
      <c r="D108" s="243" t="s">
        <v>355</v>
      </c>
      <c r="E108" s="245" t="s">
        <v>356</v>
      </c>
    </row>
    <row r="109" spans="1:5" s="232" customFormat="1" ht="42" customHeight="1">
      <c r="A109" s="538" t="s">
        <v>316</v>
      </c>
      <c r="B109" s="538"/>
      <c r="C109" s="245" t="s">
        <v>379</v>
      </c>
      <c r="D109" s="290">
        <f>C58+C64</f>
        <v>4031.3152199999995</v>
      </c>
      <c r="E109" s="265">
        <f>D31</f>
        <v>152</v>
      </c>
    </row>
    <row r="111" s="279" customFormat="1" ht="13.5" customHeight="1" thickBot="1"/>
    <row r="112" spans="1:2" s="279" customFormat="1" ht="15">
      <c r="A112" s="280" t="s">
        <v>228</v>
      </c>
      <c r="B112" s="281" t="s">
        <v>357</v>
      </c>
    </row>
    <row r="113" spans="1:17" s="232" customFormat="1" ht="15">
      <c r="A113" s="241" t="s">
        <v>358</v>
      </c>
      <c r="Q113" s="235"/>
    </row>
    <row r="114" spans="1:17" s="232" customFormat="1" ht="15">
      <c r="A114" s="241"/>
      <c r="Q114" s="235"/>
    </row>
    <row r="115" spans="1:17" s="269" customFormat="1" ht="17.25" customHeight="1">
      <c r="A115" s="539" t="s">
        <v>359</v>
      </c>
      <c r="B115" s="539"/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Q115" s="270"/>
    </row>
    <row r="117" spans="1:17" ht="12.75">
      <c r="A117" s="566"/>
      <c r="B117" s="566"/>
      <c r="C117" s="566"/>
      <c r="D117" s="566"/>
      <c r="E117" s="282"/>
      <c r="G117" s="231"/>
      <c r="Q117" s="229"/>
    </row>
    <row r="118" spans="1:17" ht="17.25" customHeight="1">
      <c r="A118" s="283"/>
      <c r="B118" s="283"/>
      <c r="C118" s="283"/>
      <c r="D118" s="283"/>
      <c r="E118" s="283"/>
      <c r="G118" s="231"/>
      <c r="Q118" s="229"/>
    </row>
    <row r="119" spans="1:17" ht="17.25" customHeight="1">
      <c r="A119" s="283"/>
      <c r="B119" s="283"/>
      <c r="C119" s="283"/>
      <c r="D119" s="283"/>
      <c r="E119" s="283"/>
      <c r="G119" s="231"/>
      <c r="Q119" s="229"/>
    </row>
    <row r="120" spans="1:17" ht="12.75">
      <c r="A120" s="278"/>
      <c r="B120" s="278"/>
      <c r="C120" s="278"/>
      <c r="D120" s="278"/>
      <c r="E120" s="278"/>
      <c r="G120" s="231"/>
      <c r="Q120" s="229"/>
    </row>
    <row r="121" ht="12.75" hidden="1"/>
    <row r="123" spans="1:17" s="232" customFormat="1" ht="36" customHeight="1">
      <c r="A123" s="539" t="s">
        <v>360</v>
      </c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Q123" s="235"/>
    </row>
    <row r="125" spans="1:17" ht="12.75">
      <c r="A125" s="282"/>
      <c r="B125" s="282"/>
      <c r="C125" s="282"/>
      <c r="D125" s="282"/>
      <c r="E125" s="282"/>
      <c r="F125" s="282"/>
      <c r="G125" s="231"/>
      <c r="Q125" s="229"/>
    </row>
    <row r="126" spans="1:17" ht="17.25" customHeight="1">
      <c r="A126" s="283"/>
      <c r="B126" s="283"/>
      <c r="C126" s="283"/>
      <c r="D126" s="283"/>
      <c r="E126" s="283"/>
      <c r="G126" s="231"/>
      <c r="Q126" s="229"/>
    </row>
    <row r="127" spans="1:17" ht="15.75" customHeight="1">
      <c r="A127" s="283"/>
      <c r="B127" s="283"/>
      <c r="C127" s="283"/>
      <c r="D127" s="283"/>
      <c r="E127" s="283"/>
      <c r="G127" s="231"/>
      <c r="Q127" s="229"/>
    </row>
    <row r="128" spans="1:17" ht="12.75">
      <c r="A128" s="278"/>
      <c r="B128" s="278"/>
      <c r="C128" s="278"/>
      <c r="D128" s="278"/>
      <c r="E128" s="278"/>
      <c r="G128" s="231"/>
      <c r="Q128" s="229"/>
    </row>
    <row r="129" spans="7:17" ht="12.75">
      <c r="G129" s="231"/>
      <c r="Q129" s="229"/>
    </row>
    <row r="130" spans="1:17" s="241" customFormat="1" ht="27.75" customHeight="1">
      <c r="A130" s="241" t="s">
        <v>361</v>
      </c>
      <c r="Q130" s="242"/>
    </row>
    <row r="131" spans="2:17" ht="12.75">
      <c r="B131" s="278"/>
      <c r="G131" s="231"/>
      <c r="Q131" s="229"/>
    </row>
    <row r="132" spans="1:17" ht="12.75">
      <c r="A132" s="284"/>
      <c r="B132" s="282"/>
      <c r="C132" s="284"/>
      <c r="D132" s="284"/>
      <c r="E132" s="284"/>
      <c r="G132" s="231"/>
      <c r="Q132" s="229"/>
    </row>
    <row r="133" spans="1:17" ht="16.5" customHeight="1">
      <c r="A133" s="283"/>
      <c r="B133" s="283"/>
      <c r="C133" s="283"/>
      <c r="D133" s="283"/>
      <c r="E133" s="283"/>
      <c r="G133" s="231"/>
      <c r="Q133" s="229"/>
    </row>
    <row r="134" spans="1:17" ht="15.75" customHeight="1">
      <c r="A134" s="283"/>
      <c r="B134" s="283"/>
      <c r="C134" s="283"/>
      <c r="D134" s="283"/>
      <c r="E134" s="283"/>
      <c r="G134" s="231"/>
      <c r="Q134" s="229"/>
    </row>
    <row r="135" spans="1:14" ht="12.7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</row>
    <row r="136" spans="1:14" ht="12.7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</row>
    <row r="137" spans="1:14" ht="12.7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</row>
    <row r="140" spans="1:13" s="232" customFormat="1" ht="16.5">
      <c r="A140" s="533" t="s">
        <v>385</v>
      </c>
      <c r="B140" s="533"/>
      <c r="D140" s="291"/>
      <c r="L140" s="291" t="s">
        <v>157</v>
      </c>
      <c r="M140" s="232" t="s">
        <v>310</v>
      </c>
    </row>
    <row r="141" spans="1:17" s="232" customFormat="1" ht="16.5">
      <c r="A141" s="285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Q141" s="235"/>
    </row>
    <row r="142" spans="1:16" s="232" customFormat="1" ht="16.5">
      <c r="A142" s="285"/>
      <c r="B142" s="242" t="s">
        <v>311</v>
      </c>
      <c r="C142" s="364">
        <v>41365</v>
      </c>
      <c r="D142" s="242" t="s">
        <v>312</v>
      </c>
      <c r="E142" s="242"/>
      <c r="F142" s="242"/>
      <c r="G142" s="242"/>
      <c r="H142" s="242"/>
      <c r="I142" s="242"/>
      <c r="J142" s="242"/>
      <c r="K142" s="242"/>
      <c r="L142" s="242"/>
      <c r="M142" s="242"/>
      <c r="P142" s="235"/>
    </row>
    <row r="143" spans="1:3" ht="21" customHeight="1">
      <c r="A143" s="287"/>
      <c r="B143" s="288"/>
      <c r="C143" s="288"/>
    </row>
    <row r="144" spans="1:3" ht="16.5" customHeight="1">
      <c r="A144" s="287"/>
      <c r="B144" s="288"/>
      <c r="C144" s="288"/>
    </row>
    <row r="145" spans="2:3" ht="12.75" customHeight="1">
      <c r="B145" s="288"/>
      <c r="C145" s="288"/>
    </row>
    <row r="146" spans="2:3" ht="12.75" customHeight="1">
      <c r="B146" s="288"/>
      <c r="C146" s="288"/>
    </row>
    <row r="147" spans="2:3" ht="12.75" customHeight="1">
      <c r="B147" s="288"/>
      <c r="C147" s="288"/>
    </row>
    <row r="148" spans="2:3" ht="12" customHeight="1">
      <c r="B148" s="288"/>
      <c r="C148" s="288"/>
    </row>
    <row r="149" ht="12" customHeight="1">
      <c r="C149" s="288"/>
    </row>
    <row r="150" ht="13.5" customHeight="1">
      <c r="C150" s="288"/>
    </row>
  </sheetData>
  <sheetProtection/>
  <mergeCells count="110">
    <mergeCell ref="A13:P13"/>
    <mergeCell ref="A14:P14"/>
    <mergeCell ref="A24:B24"/>
    <mergeCell ref="E24:P24"/>
    <mergeCell ref="A25:P25"/>
    <mergeCell ref="A26:B26"/>
    <mergeCell ref="A27:B27"/>
    <mergeCell ref="A28:B28"/>
    <mergeCell ref="A29:B29"/>
    <mergeCell ref="A30:P30"/>
    <mergeCell ref="A31:B31"/>
    <mergeCell ref="A32:B32"/>
    <mergeCell ref="A33:B33"/>
    <mergeCell ref="A34:B34"/>
    <mergeCell ref="A40:B40"/>
    <mergeCell ref="C40:D40"/>
    <mergeCell ref="N40:P40"/>
    <mergeCell ref="A41:P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P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A80"/>
    <mergeCell ref="B79:B80"/>
    <mergeCell ref="C79:D80"/>
    <mergeCell ref="F79:G80"/>
    <mergeCell ref="C81:D81"/>
    <mergeCell ref="F81:G81"/>
    <mergeCell ref="C82:D82"/>
    <mergeCell ref="F82:G82"/>
    <mergeCell ref="C83:D83"/>
    <mergeCell ref="F83:G83"/>
    <mergeCell ref="A88:A89"/>
    <mergeCell ref="B88:B89"/>
    <mergeCell ref="C88:D89"/>
    <mergeCell ref="F88:G89"/>
    <mergeCell ref="A108:B108"/>
    <mergeCell ref="C90:D90"/>
    <mergeCell ref="F90:G90"/>
    <mergeCell ref="C91:D91"/>
    <mergeCell ref="F91:G91"/>
    <mergeCell ref="C92:D92"/>
    <mergeCell ref="F92:G92"/>
    <mergeCell ref="A109:B109"/>
    <mergeCell ref="A115:O115"/>
    <mergeCell ref="A117:D117"/>
    <mergeCell ref="A123:O123"/>
    <mergeCell ref="A140:B140"/>
    <mergeCell ref="A97:A98"/>
    <mergeCell ref="B97:B98"/>
    <mergeCell ref="C97:C98"/>
    <mergeCell ref="D97:D98"/>
    <mergeCell ref="E97:E9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C105">
      <selection activeCell="Q23" sqref="Q23"/>
    </sheetView>
  </sheetViews>
  <sheetFormatPr defaultColWidth="9.00390625" defaultRowHeight="12.75"/>
  <cols>
    <col min="1" max="1" width="9.125" style="229" customWidth="1"/>
    <col min="2" max="2" width="52.25390625" style="229" customWidth="1"/>
    <col min="3" max="3" width="15.875" style="229" customWidth="1"/>
    <col min="4" max="4" width="18.25390625" style="229" customWidth="1"/>
    <col min="5" max="6" width="16.25390625" style="229" customWidth="1"/>
    <col min="7" max="7" width="16.625" style="229" customWidth="1"/>
    <col min="8" max="10" width="16.75390625" style="229" hidden="1" customWidth="1"/>
    <col min="11" max="11" width="18.00390625" style="229" hidden="1" customWidth="1"/>
    <col min="12" max="12" width="17.75390625" style="229" hidden="1" customWidth="1"/>
    <col min="13" max="13" width="17.125" style="229" hidden="1" customWidth="1"/>
    <col min="14" max="14" width="16.875" style="229" hidden="1" customWidth="1"/>
    <col min="15" max="15" width="15.25390625" style="229" hidden="1" customWidth="1"/>
    <col min="16" max="16" width="15.125" style="229" hidden="1" customWidth="1"/>
    <col min="17" max="17" width="14.25390625" style="231" hidden="1" customWidth="1"/>
    <col min="18" max="18" width="16.25390625" style="229" hidden="1" customWidth="1"/>
    <col min="19" max="19" width="9.125" style="229" hidden="1" customWidth="1"/>
    <col min="20" max="20" width="10.125" style="229" bestFit="1" customWidth="1"/>
    <col min="21" max="21" width="9.625" style="229" bestFit="1" customWidth="1"/>
    <col min="22" max="16384" width="9.125" style="229" customWidth="1"/>
  </cols>
  <sheetData>
    <row r="1" ht="11.25" customHeight="1">
      <c r="G1" s="230" t="s">
        <v>313</v>
      </c>
    </row>
    <row r="2" ht="9" customHeight="1">
      <c r="G2" s="230" t="s">
        <v>174</v>
      </c>
    </row>
    <row r="3" ht="9.75" customHeight="1">
      <c r="G3" s="230" t="s">
        <v>175</v>
      </c>
    </row>
    <row r="4" ht="9.75" customHeight="1">
      <c r="G4" s="230" t="s">
        <v>176</v>
      </c>
    </row>
    <row r="5" ht="9" customHeight="1">
      <c r="G5" s="230" t="s">
        <v>177</v>
      </c>
    </row>
    <row r="6" ht="10.5" customHeight="1">
      <c r="G6" s="230" t="s">
        <v>178</v>
      </c>
    </row>
    <row r="7" ht="9" customHeight="1">
      <c r="G7" s="230" t="s">
        <v>179</v>
      </c>
    </row>
    <row r="8" ht="9.75" customHeight="1">
      <c r="G8" s="230" t="s">
        <v>180</v>
      </c>
    </row>
    <row r="9" ht="9" customHeight="1">
      <c r="G9" s="230" t="s">
        <v>181</v>
      </c>
    </row>
    <row r="10" ht="9.75" customHeight="1">
      <c r="G10" s="230" t="s">
        <v>182</v>
      </c>
    </row>
    <row r="11" spans="2:17" s="232" customFormat="1" ht="15.75">
      <c r="B11" s="233"/>
      <c r="C11" s="234" t="s">
        <v>314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Q11" s="235"/>
    </row>
    <row r="12" spans="2:17" s="232" customFormat="1" ht="15.75">
      <c r="B12" s="233"/>
      <c r="C12" s="234" t="s">
        <v>315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Q12" s="235"/>
    </row>
    <row r="13" spans="1:17" s="232" customFormat="1" ht="33" customHeight="1">
      <c r="A13" s="564" t="s">
        <v>316</v>
      </c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235"/>
    </row>
    <row r="14" spans="1:17" s="232" customFormat="1" ht="18.75" customHeight="1">
      <c r="A14" s="565" t="s">
        <v>378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235"/>
    </row>
    <row r="15" spans="1:17" s="232" customFormat="1" ht="15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5"/>
    </row>
    <row r="16" spans="2:17" s="232" customFormat="1" ht="15.75">
      <c r="B16" s="233"/>
      <c r="C16" s="234" t="s">
        <v>398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Q16" s="235"/>
    </row>
    <row r="17" spans="2:17" s="232" customFormat="1" ht="15.75">
      <c r="B17" s="233"/>
      <c r="C17" s="234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Q17" s="235"/>
    </row>
    <row r="18" spans="1:17" s="232" customFormat="1" ht="17.25" customHeight="1">
      <c r="A18" s="237" t="s">
        <v>317</v>
      </c>
      <c r="B18" s="238"/>
      <c r="C18" s="365" t="s">
        <v>386</v>
      </c>
      <c r="D18" s="365"/>
      <c r="E18" s="239"/>
      <c r="F18" s="239"/>
      <c r="G18" s="239"/>
      <c r="H18" s="239"/>
      <c r="I18" s="239"/>
      <c r="J18" s="239"/>
      <c r="K18" s="239"/>
      <c r="L18" s="239"/>
      <c r="M18" s="239"/>
      <c r="Q18" s="235"/>
    </row>
    <row r="19" spans="2:17" s="232" customFormat="1" ht="12.75" customHeight="1" hidden="1">
      <c r="B19" s="240"/>
      <c r="C19" s="365"/>
      <c r="D19" s="365"/>
      <c r="Q19" s="235"/>
    </row>
    <row r="20" spans="2:17" s="232" customFormat="1" ht="12.75">
      <c r="B20" s="240"/>
      <c r="C20" s="365" t="s">
        <v>387</v>
      </c>
      <c r="D20" s="365"/>
      <c r="Q20" s="235"/>
    </row>
    <row r="21" spans="1:17" s="241" customFormat="1" ht="15">
      <c r="A21" s="241" t="s">
        <v>318</v>
      </c>
      <c r="C21" s="366"/>
      <c r="D21" s="366"/>
      <c r="Q21" s="242"/>
    </row>
    <row r="22" spans="1:17" s="241" customFormat="1" ht="15">
      <c r="A22" s="241" t="s">
        <v>319</v>
      </c>
      <c r="Q22" s="242"/>
    </row>
    <row r="24" spans="1:16" ht="39" customHeight="1">
      <c r="A24" s="534" t="s">
        <v>320</v>
      </c>
      <c r="B24" s="536"/>
      <c r="C24" s="245" t="s">
        <v>30</v>
      </c>
      <c r="D24" s="245" t="s">
        <v>321</v>
      </c>
      <c r="E24" s="534" t="s">
        <v>322</v>
      </c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6"/>
    </row>
    <row r="25" spans="1:16" ht="21.75" customHeight="1">
      <c r="A25" s="542" t="s">
        <v>323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43"/>
    </row>
    <row r="26" spans="1:19" ht="64.5" customHeight="1">
      <c r="A26" s="544" t="s">
        <v>324</v>
      </c>
      <c r="B26" s="545"/>
      <c r="C26" s="247" t="s">
        <v>199</v>
      </c>
      <c r="D26" s="248">
        <v>152</v>
      </c>
      <c r="E26" s="248">
        <f aca="true" t="shared" si="0" ref="E26:M26">E27</f>
        <v>816</v>
      </c>
      <c r="F26" s="248">
        <f t="shared" si="0"/>
        <v>816</v>
      </c>
      <c r="G26" s="248">
        <f t="shared" si="0"/>
        <v>150</v>
      </c>
      <c r="H26" s="248">
        <f t="shared" si="0"/>
        <v>0</v>
      </c>
      <c r="I26" s="248">
        <f t="shared" si="0"/>
        <v>0</v>
      </c>
      <c r="J26" s="248">
        <f t="shared" si="0"/>
        <v>0</v>
      </c>
      <c r="K26" s="248">
        <f t="shared" si="0"/>
        <v>0</v>
      </c>
      <c r="L26" s="248">
        <f t="shared" si="0"/>
        <v>0</v>
      </c>
      <c r="M26" s="248">
        <f t="shared" si="0"/>
        <v>0</v>
      </c>
      <c r="N26" s="248">
        <f>N27</f>
        <v>0</v>
      </c>
      <c r="O26" s="248">
        <f>O27</f>
        <v>0</v>
      </c>
      <c r="P26" s="248">
        <f>P27</f>
        <v>0</v>
      </c>
      <c r="S26" s="229">
        <f>COUNTIF(E26:P26,"&gt;0")</f>
        <v>3</v>
      </c>
    </row>
    <row r="27" spans="1:19" ht="12.75">
      <c r="A27" s="544" t="s">
        <v>325</v>
      </c>
      <c r="B27" s="545"/>
      <c r="C27" s="247" t="s">
        <v>199</v>
      </c>
      <c r="D27" s="248">
        <v>152</v>
      </c>
      <c r="E27" s="248">
        <f>'мун.задание'!D69</f>
        <v>816</v>
      </c>
      <c r="F27" s="248">
        <f>'мун.задание'!E69</f>
        <v>816</v>
      </c>
      <c r="G27" s="248">
        <v>150</v>
      </c>
      <c r="H27" s="248"/>
      <c r="I27" s="248"/>
      <c r="J27" s="248"/>
      <c r="K27" s="248"/>
      <c r="L27" s="248"/>
      <c r="M27" s="248"/>
      <c r="N27" s="248"/>
      <c r="O27" s="248"/>
      <c r="P27" s="248"/>
      <c r="S27" s="229">
        <f>COUNTIF(E27:P27,"&gt;0")</f>
        <v>3</v>
      </c>
    </row>
    <row r="28" spans="1:19" ht="15" customHeight="1">
      <c r="A28" s="544" t="s">
        <v>326</v>
      </c>
      <c r="B28" s="545"/>
      <c r="C28" s="247" t="s">
        <v>199</v>
      </c>
      <c r="D28" s="248">
        <v>152</v>
      </c>
      <c r="E28" s="248">
        <f>'мун.задание'!D70</f>
        <v>816</v>
      </c>
      <c r="F28" s="248">
        <f>'мун.задание'!E70</f>
        <v>816</v>
      </c>
      <c r="G28" s="248">
        <v>150</v>
      </c>
      <c r="H28" s="248"/>
      <c r="I28" s="248"/>
      <c r="J28" s="248"/>
      <c r="K28" s="248"/>
      <c r="L28" s="248"/>
      <c r="M28" s="248"/>
      <c r="N28" s="248"/>
      <c r="O28" s="248"/>
      <c r="P28" s="248"/>
      <c r="S28" s="229">
        <f>COUNTIF(E28:P28,"&gt;0")</f>
        <v>3</v>
      </c>
    </row>
    <row r="29" spans="1:19" ht="15" customHeight="1">
      <c r="A29" s="544" t="s">
        <v>327</v>
      </c>
      <c r="B29" s="545"/>
      <c r="C29" s="247" t="s">
        <v>199</v>
      </c>
      <c r="D29" s="248">
        <v>152</v>
      </c>
      <c r="E29" s="248">
        <f>'мун.задание'!D71</f>
        <v>816</v>
      </c>
      <c r="F29" s="248">
        <f>'мун.задание'!E71</f>
        <v>816</v>
      </c>
      <c r="G29" s="248">
        <v>150</v>
      </c>
      <c r="H29" s="248"/>
      <c r="I29" s="248"/>
      <c r="J29" s="248"/>
      <c r="K29" s="248"/>
      <c r="L29" s="248"/>
      <c r="M29" s="248"/>
      <c r="N29" s="248"/>
      <c r="O29" s="248"/>
      <c r="P29" s="248"/>
      <c r="S29" s="229">
        <f>COUNTIF(E29:P29,"&gt;0")</f>
        <v>3</v>
      </c>
    </row>
    <row r="30" spans="1:16" ht="22.5" customHeight="1">
      <c r="A30" s="542" t="s">
        <v>328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43"/>
    </row>
    <row r="31" spans="1:19" ht="63" customHeight="1">
      <c r="A31" s="544" t="s">
        <v>329</v>
      </c>
      <c r="B31" s="545"/>
      <c r="C31" s="247" t="s">
        <v>199</v>
      </c>
      <c r="D31" s="248">
        <v>152</v>
      </c>
      <c r="E31" s="248">
        <f aca="true" t="shared" si="1" ref="E31:P31">E32</f>
        <v>816</v>
      </c>
      <c r="F31" s="248">
        <f t="shared" si="1"/>
        <v>816</v>
      </c>
      <c r="G31" s="248">
        <f t="shared" si="1"/>
        <v>150</v>
      </c>
      <c r="H31" s="248">
        <f t="shared" si="1"/>
        <v>0</v>
      </c>
      <c r="I31" s="248">
        <f t="shared" si="1"/>
        <v>0</v>
      </c>
      <c r="J31" s="248">
        <f t="shared" si="1"/>
        <v>0</v>
      </c>
      <c r="K31" s="248">
        <f t="shared" si="1"/>
        <v>0</v>
      </c>
      <c r="L31" s="248">
        <f t="shared" si="1"/>
        <v>0</v>
      </c>
      <c r="M31" s="248">
        <f t="shared" si="1"/>
        <v>0</v>
      </c>
      <c r="N31" s="248">
        <f t="shared" si="1"/>
        <v>0</v>
      </c>
      <c r="O31" s="248">
        <f t="shared" si="1"/>
        <v>0</v>
      </c>
      <c r="P31" s="248">
        <f t="shared" si="1"/>
        <v>0</v>
      </c>
      <c r="S31" s="229">
        <f>COUNTIF(E31:P31,"&gt;0")</f>
        <v>3</v>
      </c>
    </row>
    <row r="32" spans="1:19" ht="12.75">
      <c r="A32" s="544" t="s">
        <v>325</v>
      </c>
      <c r="B32" s="545"/>
      <c r="C32" s="247" t="s">
        <v>199</v>
      </c>
      <c r="D32" s="248">
        <v>152</v>
      </c>
      <c r="E32" s="248">
        <f>E27</f>
        <v>816</v>
      </c>
      <c r="F32" s="248">
        <f aca="true" t="shared" si="2" ref="F32:P32">F27</f>
        <v>816</v>
      </c>
      <c r="G32" s="248">
        <f t="shared" si="2"/>
        <v>150</v>
      </c>
      <c r="H32" s="248">
        <f t="shared" si="2"/>
        <v>0</v>
      </c>
      <c r="I32" s="248">
        <f t="shared" si="2"/>
        <v>0</v>
      </c>
      <c r="J32" s="248">
        <f t="shared" si="2"/>
        <v>0</v>
      </c>
      <c r="K32" s="248">
        <f t="shared" si="2"/>
        <v>0</v>
      </c>
      <c r="L32" s="248">
        <f t="shared" si="2"/>
        <v>0</v>
      </c>
      <c r="M32" s="248">
        <f t="shared" si="2"/>
        <v>0</v>
      </c>
      <c r="N32" s="248">
        <f t="shared" si="2"/>
        <v>0</v>
      </c>
      <c r="O32" s="248">
        <f t="shared" si="2"/>
        <v>0</v>
      </c>
      <c r="P32" s="248">
        <f t="shared" si="2"/>
        <v>0</v>
      </c>
      <c r="S32" s="229">
        <f>COUNTIF(E32:P32,"&gt;0")</f>
        <v>3</v>
      </c>
    </row>
    <row r="33" spans="1:19" ht="13.5" customHeight="1">
      <c r="A33" s="544" t="s">
        <v>326</v>
      </c>
      <c r="B33" s="545"/>
      <c r="C33" s="247" t="s">
        <v>199</v>
      </c>
      <c r="D33" s="248">
        <v>152</v>
      </c>
      <c r="E33" s="248">
        <f aca="true" t="shared" si="3" ref="E33:P34">E28</f>
        <v>816</v>
      </c>
      <c r="F33" s="248">
        <f t="shared" si="3"/>
        <v>816</v>
      </c>
      <c r="G33" s="248">
        <f t="shared" si="3"/>
        <v>150</v>
      </c>
      <c r="H33" s="248">
        <f t="shared" si="3"/>
        <v>0</v>
      </c>
      <c r="I33" s="248">
        <f t="shared" si="3"/>
        <v>0</v>
      </c>
      <c r="J33" s="248">
        <f t="shared" si="3"/>
        <v>0</v>
      </c>
      <c r="K33" s="248">
        <f t="shared" si="3"/>
        <v>0</v>
      </c>
      <c r="L33" s="248">
        <f t="shared" si="3"/>
        <v>0</v>
      </c>
      <c r="M33" s="248">
        <f t="shared" si="3"/>
        <v>0</v>
      </c>
      <c r="N33" s="248">
        <f t="shared" si="3"/>
        <v>0</v>
      </c>
      <c r="O33" s="248">
        <f t="shared" si="3"/>
        <v>0</v>
      </c>
      <c r="P33" s="248">
        <f t="shared" si="3"/>
        <v>0</v>
      </c>
      <c r="S33" s="229">
        <f>COUNTIF(E33:P33,"&gt;0")</f>
        <v>3</v>
      </c>
    </row>
    <row r="34" spans="1:19" ht="13.5" customHeight="1">
      <c r="A34" s="544" t="s">
        <v>327</v>
      </c>
      <c r="B34" s="545"/>
      <c r="C34" s="247" t="s">
        <v>199</v>
      </c>
      <c r="D34" s="248">
        <v>152</v>
      </c>
      <c r="E34" s="248">
        <f t="shared" si="3"/>
        <v>816</v>
      </c>
      <c r="F34" s="248">
        <f t="shared" si="3"/>
        <v>816</v>
      </c>
      <c r="G34" s="248">
        <f t="shared" si="3"/>
        <v>150</v>
      </c>
      <c r="H34" s="248">
        <f t="shared" si="3"/>
        <v>0</v>
      </c>
      <c r="I34" s="248">
        <f t="shared" si="3"/>
        <v>0</v>
      </c>
      <c r="J34" s="248">
        <f t="shared" si="3"/>
        <v>0</v>
      </c>
      <c r="K34" s="248">
        <f t="shared" si="3"/>
        <v>0</v>
      </c>
      <c r="L34" s="248">
        <f t="shared" si="3"/>
        <v>0</v>
      </c>
      <c r="M34" s="248">
        <f t="shared" si="3"/>
        <v>0</v>
      </c>
      <c r="N34" s="248">
        <f t="shared" si="3"/>
        <v>0</v>
      </c>
      <c r="O34" s="248">
        <f t="shared" si="3"/>
        <v>0</v>
      </c>
      <c r="P34" s="248">
        <f t="shared" si="3"/>
        <v>0</v>
      </c>
      <c r="S34" s="229">
        <f>COUNTIF(E34:P34,"&gt;0")</f>
        <v>3</v>
      </c>
    </row>
    <row r="38" spans="1:17" s="241" customFormat="1" ht="15">
      <c r="A38" s="241" t="s">
        <v>330</v>
      </c>
      <c r="Q38" s="242"/>
    </row>
    <row r="40" spans="1:16" ht="31.5" customHeight="1">
      <c r="A40" s="534" t="s">
        <v>320</v>
      </c>
      <c r="B40" s="536"/>
      <c r="C40" s="534" t="s">
        <v>331</v>
      </c>
      <c r="D40" s="536"/>
      <c r="E40" s="244"/>
      <c r="F40" s="244"/>
      <c r="G40" s="244"/>
      <c r="H40" s="244"/>
      <c r="I40" s="244"/>
      <c r="J40" s="244"/>
      <c r="K40" s="244"/>
      <c r="L40" s="244"/>
      <c r="M40" s="244"/>
      <c r="N40" s="534" t="s">
        <v>332</v>
      </c>
      <c r="O40" s="535"/>
      <c r="P40" s="536"/>
    </row>
    <row r="41" spans="1:16" ht="19.5" customHeight="1">
      <c r="A41" s="542" t="s">
        <v>323</v>
      </c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43"/>
    </row>
    <row r="42" spans="1:20" ht="67.5" customHeight="1">
      <c r="A42" s="559" t="s">
        <v>333</v>
      </c>
      <c r="B42" s="560"/>
      <c r="C42" s="561">
        <f>C43+C46</f>
        <v>13722.298841200001</v>
      </c>
      <c r="D42" s="562"/>
      <c r="E42" s="289">
        <f>E43+E46</f>
        <v>1458.8161891640002</v>
      </c>
      <c r="F42" s="289">
        <f aca="true" t="shared" si="4" ref="F42:P42">F43+F46</f>
        <v>934.9272376120001</v>
      </c>
      <c r="G42" s="289">
        <f t="shared" si="4"/>
        <v>1913.957124424</v>
      </c>
      <c r="H42" s="289">
        <f t="shared" si="4"/>
        <v>0</v>
      </c>
      <c r="I42" s="289">
        <f t="shared" si="4"/>
        <v>0</v>
      </c>
      <c r="J42" s="289">
        <f t="shared" si="4"/>
        <v>0</v>
      </c>
      <c r="K42" s="289">
        <f t="shared" si="4"/>
        <v>0</v>
      </c>
      <c r="L42" s="289">
        <f t="shared" si="4"/>
        <v>0</v>
      </c>
      <c r="M42" s="289">
        <f t="shared" si="4"/>
        <v>0</v>
      </c>
      <c r="N42" s="289">
        <f t="shared" si="4"/>
        <v>0</v>
      </c>
      <c r="O42" s="289">
        <f t="shared" si="4"/>
        <v>0</v>
      </c>
      <c r="P42" s="289">
        <f t="shared" si="4"/>
        <v>0</v>
      </c>
      <c r="Q42" s="249">
        <f>Q43+Q46</f>
        <v>0</v>
      </c>
      <c r="R42" s="249">
        <f>R43+R46</f>
        <v>0</v>
      </c>
      <c r="T42" s="268">
        <f>C42-C58</f>
        <v>318.6862911999997</v>
      </c>
    </row>
    <row r="43" spans="1:20" s="251" customFormat="1" ht="67.5" customHeight="1">
      <c r="A43" s="552" t="s">
        <v>334</v>
      </c>
      <c r="B43" s="553"/>
      <c r="C43" s="556">
        <f>SUM(C44:D45)</f>
        <v>13169.2868412</v>
      </c>
      <c r="D43" s="557"/>
      <c r="E43" s="371">
        <f>SUM(E44:E45)</f>
        <v>1113.888189164</v>
      </c>
      <c r="F43" s="371">
        <f aca="true" t="shared" si="5" ref="F43:M43">SUM(F44:F45)</f>
        <v>934.9272376120001</v>
      </c>
      <c r="G43" s="371">
        <f t="shared" si="5"/>
        <v>1913.957124424</v>
      </c>
      <c r="H43" s="371">
        <f t="shared" si="5"/>
        <v>0</v>
      </c>
      <c r="I43" s="371">
        <f t="shared" si="5"/>
        <v>0</v>
      </c>
      <c r="J43" s="371">
        <f t="shared" si="5"/>
        <v>0</v>
      </c>
      <c r="K43" s="371">
        <f t="shared" si="5"/>
        <v>0</v>
      </c>
      <c r="L43" s="371">
        <f t="shared" si="5"/>
        <v>0</v>
      </c>
      <c r="M43" s="371">
        <f t="shared" si="5"/>
        <v>0</v>
      </c>
      <c r="N43" s="371">
        <f>SUM(N44:N45)</f>
        <v>0</v>
      </c>
      <c r="O43" s="371">
        <f>SUM(O44:O45)</f>
        <v>0</v>
      </c>
      <c r="P43" s="371">
        <f>SUM(P44:P45)</f>
        <v>0</v>
      </c>
      <c r="Q43" s="250"/>
      <c r="T43" s="268">
        <f aca="true" t="shared" si="6" ref="T43:T56">C43-C59</f>
        <v>77.51529119999941</v>
      </c>
    </row>
    <row r="44" spans="1:20" ht="15.75" customHeight="1">
      <c r="A44" s="544" t="s">
        <v>325</v>
      </c>
      <c r="B44" s="545"/>
      <c r="C44" s="546">
        <f>SUM(E44:P44)+'отчет 1433-2'!C44:D44</f>
        <v>6958.2812412</v>
      </c>
      <c r="D44" s="547"/>
      <c r="E44" s="252">
        <f>'вспомогательная таблица'!L23/1000</f>
        <v>806.3051891640001</v>
      </c>
      <c r="F44" s="252">
        <f>'вспомогательная таблица'!M23/1000</f>
        <v>905.8372376120001</v>
      </c>
      <c r="G44" s="252">
        <f>'вспомогательная таблица'!N23/1000</f>
        <v>1570.4911244240002</v>
      </c>
      <c r="H44" s="252"/>
      <c r="I44" s="252"/>
      <c r="J44" s="252"/>
      <c r="K44" s="252"/>
      <c r="L44" s="252"/>
      <c r="M44" s="252"/>
      <c r="N44" s="253"/>
      <c r="O44" s="253"/>
      <c r="P44" s="253"/>
      <c r="T44" s="268">
        <f t="shared" si="6"/>
        <v>704.6213111999996</v>
      </c>
    </row>
    <row r="45" spans="1:20" ht="15" customHeight="1">
      <c r="A45" s="544" t="s">
        <v>335</v>
      </c>
      <c r="B45" s="545"/>
      <c r="C45" s="546">
        <f>SUM(E45:P45)+'отчет 1433-2'!C45:D45</f>
        <v>6211.0056</v>
      </c>
      <c r="D45" s="547"/>
      <c r="E45" s="252">
        <f>'вспомогательная таблица'!L26/1000</f>
        <v>307.583</v>
      </c>
      <c r="F45" s="252">
        <f>'вспомогательная таблица'!M26/1000</f>
        <v>29.09</v>
      </c>
      <c r="G45" s="252">
        <f>'вспомогательная таблица'!N26/1000</f>
        <v>343.466</v>
      </c>
      <c r="H45" s="252"/>
      <c r="I45" s="252"/>
      <c r="J45" s="252"/>
      <c r="K45" s="252"/>
      <c r="L45" s="252"/>
      <c r="M45" s="252"/>
      <c r="N45" s="254"/>
      <c r="O45" s="254"/>
      <c r="P45" s="254"/>
      <c r="T45" s="268">
        <f t="shared" si="6"/>
        <v>-627.1060199999993</v>
      </c>
    </row>
    <row r="46" spans="1:20" s="251" customFormat="1" ht="68.25" customHeight="1">
      <c r="A46" s="552" t="s">
        <v>336</v>
      </c>
      <c r="B46" s="553"/>
      <c r="C46" s="556">
        <f>C47</f>
        <v>553.012</v>
      </c>
      <c r="D46" s="557"/>
      <c r="E46" s="371">
        <f aca="true" t="shared" si="7" ref="E46:P46">E47</f>
        <v>344.928</v>
      </c>
      <c r="F46" s="371">
        <f t="shared" si="7"/>
        <v>0</v>
      </c>
      <c r="G46" s="371">
        <f t="shared" si="7"/>
        <v>0</v>
      </c>
      <c r="H46" s="371">
        <f t="shared" si="7"/>
        <v>0</v>
      </c>
      <c r="I46" s="371">
        <f t="shared" si="7"/>
        <v>0</v>
      </c>
      <c r="J46" s="371">
        <f t="shared" si="7"/>
        <v>0</v>
      </c>
      <c r="K46" s="371">
        <f t="shared" si="7"/>
        <v>0</v>
      </c>
      <c r="L46" s="371">
        <f t="shared" si="7"/>
        <v>0</v>
      </c>
      <c r="M46" s="371">
        <f t="shared" si="7"/>
        <v>0</v>
      </c>
      <c r="N46" s="371">
        <f t="shared" si="7"/>
        <v>0</v>
      </c>
      <c r="O46" s="371">
        <f t="shared" si="7"/>
        <v>0</v>
      </c>
      <c r="P46" s="371">
        <f t="shared" si="7"/>
        <v>0</v>
      </c>
      <c r="Q46" s="250"/>
      <c r="T46" s="268">
        <f t="shared" si="6"/>
        <v>241.17099999999994</v>
      </c>
    </row>
    <row r="47" spans="1:20" ht="15" customHeight="1">
      <c r="A47" s="544" t="s">
        <v>327</v>
      </c>
      <c r="B47" s="545"/>
      <c r="C47" s="546">
        <f>SUM(E47:P47)+'отчет 1433-2'!C47:D47</f>
        <v>553.012</v>
      </c>
      <c r="D47" s="547"/>
      <c r="E47" s="252">
        <f>'вспомогательная таблица'!L27/1000</f>
        <v>344.928</v>
      </c>
      <c r="F47" s="252">
        <f>'вспомогательная таблица'!M27/1000</f>
        <v>0</v>
      </c>
      <c r="G47" s="252">
        <f>'вспомогательная таблица'!N27/1000</f>
        <v>0</v>
      </c>
      <c r="H47" s="252"/>
      <c r="I47" s="252"/>
      <c r="J47" s="252"/>
      <c r="K47" s="252"/>
      <c r="L47" s="252"/>
      <c r="M47" s="252"/>
      <c r="N47" s="257"/>
      <c r="O47" s="257"/>
      <c r="P47" s="257"/>
      <c r="T47" s="268">
        <f t="shared" si="6"/>
        <v>241.17099999999994</v>
      </c>
    </row>
    <row r="48" spans="1:20" s="251" customFormat="1" ht="65.25" customHeight="1">
      <c r="A48" s="552" t="s">
        <v>337</v>
      </c>
      <c r="B48" s="553"/>
      <c r="C48" s="554">
        <f>SUM(C49:D56)</f>
        <v>94.873</v>
      </c>
      <c r="D48" s="555"/>
      <c r="E48" s="370">
        <f>SUM(E49:E56)</f>
        <v>0</v>
      </c>
      <c r="F48" s="370">
        <f>SUM(F49:F56)</f>
        <v>0</v>
      </c>
      <c r="G48" s="370">
        <f>SUM(E49:E56)</f>
        <v>0</v>
      </c>
      <c r="H48" s="370">
        <f aca="true" t="shared" si="8" ref="H48:P48">SUM(H49:H56)</f>
        <v>0</v>
      </c>
      <c r="I48" s="370">
        <f t="shared" si="8"/>
        <v>0</v>
      </c>
      <c r="J48" s="370">
        <f t="shared" si="8"/>
        <v>0</v>
      </c>
      <c r="K48" s="370">
        <f t="shared" si="8"/>
        <v>0</v>
      </c>
      <c r="L48" s="370">
        <f t="shared" si="8"/>
        <v>0</v>
      </c>
      <c r="M48" s="370">
        <f t="shared" si="8"/>
        <v>0</v>
      </c>
      <c r="N48" s="370">
        <f t="shared" si="8"/>
        <v>0</v>
      </c>
      <c r="O48" s="370">
        <f t="shared" si="8"/>
        <v>0</v>
      </c>
      <c r="P48" s="370">
        <f t="shared" si="8"/>
        <v>0</v>
      </c>
      <c r="Q48" s="250"/>
      <c r="T48" s="268">
        <f t="shared" si="6"/>
        <v>-79.8137</v>
      </c>
    </row>
    <row r="49" spans="1:20" ht="27" customHeight="1">
      <c r="A49" s="544" t="s">
        <v>338</v>
      </c>
      <c r="B49" s="545"/>
      <c r="C49" s="546">
        <f aca="true" t="shared" si="9" ref="C49:C55">SUM(E49:P49)</f>
        <v>0</v>
      </c>
      <c r="D49" s="547"/>
      <c r="E49" s="252"/>
      <c r="F49" s="252"/>
      <c r="G49" s="252"/>
      <c r="H49" s="252"/>
      <c r="I49" s="252"/>
      <c r="J49" s="252"/>
      <c r="K49" s="252"/>
      <c r="L49" s="252"/>
      <c r="M49" s="252"/>
      <c r="N49" s="257"/>
      <c r="O49" s="257"/>
      <c r="P49" s="257"/>
      <c r="T49" s="268">
        <f t="shared" si="6"/>
        <v>0</v>
      </c>
    </row>
    <row r="50" spans="1:20" ht="27.75" customHeight="1">
      <c r="A50" s="544" t="s">
        <v>248</v>
      </c>
      <c r="B50" s="545"/>
      <c r="C50" s="546">
        <f t="shared" si="9"/>
        <v>0</v>
      </c>
      <c r="D50" s="547"/>
      <c r="E50" s="252"/>
      <c r="F50" s="252"/>
      <c r="G50" s="252"/>
      <c r="H50" s="252"/>
      <c r="I50" s="252"/>
      <c r="J50" s="252"/>
      <c r="K50" s="252"/>
      <c r="L50" s="252"/>
      <c r="M50" s="252"/>
      <c r="N50" s="257"/>
      <c r="O50" s="257"/>
      <c r="P50" s="257"/>
      <c r="T50" s="268">
        <f t="shared" si="6"/>
        <v>0</v>
      </c>
    </row>
    <row r="51" spans="1:20" ht="26.25" customHeight="1">
      <c r="A51" s="544" t="s">
        <v>249</v>
      </c>
      <c r="B51" s="545"/>
      <c r="C51" s="546">
        <f t="shared" si="9"/>
        <v>0</v>
      </c>
      <c r="D51" s="547"/>
      <c r="E51" s="252"/>
      <c r="F51" s="252"/>
      <c r="G51" s="252"/>
      <c r="H51" s="252"/>
      <c r="I51" s="252"/>
      <c r="J51" s="252"/>
      <c r="K51" s="252"/>
      <c r="L51" s="252"/>
      <c r="M51" s="252"/>
      <c r="N51" s="257"/>
      <c r="O51" s="257"/>
      <c r="P51" s="257"/>
      <c r="T51" s="268">
        <f t="shared" si="6"/>
        <v>0</v>
      </c>
    </row>
    <row r="52" spans="1:20" ht="52.5" customHeight="1">
      <c r="A52" s="544" t="s">
        <v>250</v>
      </c>
      <c r="B52" s="545"/>
      <c r="C52" s="546">
        <f>SUM(E52:P52)</f>
        <v>0</v>
      </c>
      <c r="D52" s="547"/>
      <c r="E52" s="252"/>
      <c r="F52" s="252"/>
      <c r="G52" s="252"/>
      <c r="H52" s="252"/>
      <c r="I52" s="252"/>
      <c r="J52" s="252"/>
      <c r="K52" s="252"/>
      <c r="L52" s="252"/>
      <c r="M52" s="252"/>
      <c r="N52" s="257"/>
      <c r="O52" s="257"/>
      <c r="P52" s="257"/>
      <c r="T52" s="268">
        <f t="shared" si="6"/>
        <v>0</v>
      </c>
    </row>
    <row r="53" spans="1:20" ht="30" customHeight="1">
      <c r="A53" s="544" t="s">
        <v>339</v>
      </c>
      <c r="B53" s="545"/>
      <c r="C53" s="546">
        <f t="shared" si="9"/>
        <v>0</v>
      </c>
      <c r="D53" s="547"/>
      <c r="E53" s="252"/>
      <c r="F53" s="252"/>
      <c r="G53" s="252"/>
      <c r="H53" s="252"/>
      <c r="I53" s="252"/>
      <c r="J53" s="252"/>
      <c r="K53" s="252"/>
      <c r="L53" s="252"/>
      <c r="M53" s="252"/>
      <c r="N53" s="257"/>
      <c r="O53" s="257"/>
      <c r="P53" s="257"/>
      <c r="T53" s="268">
        <f t="shared" si="6"/>
        <v>0</v>
      </c>
    </row>
    <row r="54" spans="1:20" ht="15" customHeight="1">
      <c r="A54" s="544" t="s">
        <v>251</v>
      </c>
      <c r="B54" s="545"/>
      <c r="C54" s="546">
        <f t="shared" si="9"/>
        <v>0</v>
      </c>
      <c r="D54" s="547"/>
      <c r="E54" s="252">
        <f>'мун.задание'!D137/1000</f>
        <v>0</v>
      </c>
      <c r="F54" s="252">
        <f>'мун.задание'!E137/1000</f>
        <v>0</v>
      </c>
      <c r="G54" s="252">
        <f>'мун.задание'!F137/1000</f>
        <v>0</v>
      </c>
      <c r="H54" s="252"/>
      <c r="I54" s="252"/>
      <c r="J54" s="252"/>
      <c r="K54" s="252"/>
      <c r="L54" s="252"/>
      <c r="M54" s="252"/>
      <c r="N54" s="257"/>
      <c r="O54" s="257"/>
      <c r="P54" s="257"/>
      <c r="T54" s="268">
        <f t="shared" si="6"/>
        <v>0</v>
      </c>
    </row>
    <row r="55" spans="1:20" ht="27.75" customHeight="1">
      <c r="A55" s="544" t="s">
        <v>252</v>
      </c>
      <c r="B55" s="545"/>
      <c r="C55" s="546">
        <f t="shared" si="9"/>
        <v>0</v>
      </c>
      <c r="D55" s="547"/>
      <c r="E55" s="252"/>
      <c r="F55" s="252"/>
      <c r="G55" s="252"/>
      <c r="H55" s="252"/>
      <c r="I55" s="252"/>
      <c r="J55" s="252"/>
      <c r="K55" s="252"/>
      <c r="L55" s="252"/>
      <c r="M55" s="252"/>
      <c r="N55" s="257"/>
      <c r="O55" s="257"/>
      <c r="P55" s="257"/>
      <c r="T55" s="268">
        <f t="shared" si="6"/>
        <v>0</v>
      </c>
    </row>
    <row r="56" spans="1:20" ht="30.75" customHeight="1">
      <c r="A56" s="544" t="s">
        <v>253</v>
      </c>
      <c r="B56" s="545"/>
      <c r="C56" s="546">
        <f>SUM(E56:P56)+'отчет 1433-2'!C56:D56</f>
        <v>94.873</v>
      </c>
      <c r="D56" s="547"/>
      <c r="E56" s="252">
        <f>'мун.задание'!G140/1000</f>
        <v>0</v>
      </c>
      <c r="F56" s="252">
        <f>'мун.задание'!E140/1000</f>
        <v>0</v>
      </c>
      <c r="G56" s="252">
        <f>'мун.задание'!F140/1000</f>
        <v>0</v>
      </c>
      <c r="H56" s="252"/>
      <c r="I56" s="252"/>
      <c r="J56" s="252"/>
      <c r="K56" s="252"/>
      <c r="L56" s="252"/>
      <c r="M56" s="252"/>
      <c r="N56" s="257"/>
      <c r="O56" s="257"/>
      <c r="P56" s="257"/>
      <c r="T56" s="268">
        <f t="shared" si="6"/>
        <v>-79.8137</v>
      </c>
    </row>
    <row r="57" spans="1:20" ht="21.75" customHeight="1">
      <c r="A57" s="542" t="s">
        <v>328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43"/>
      <c r="T57" s="255"/>
    </row>
    <row r="58" spans="1:20" s="259" customFormat="1" ht="54.75" customHeight="1">
      <c r="A58" s="559" t="s">
        <v>333</v>
      </c>
      <c r="B58" s="560"/>
      <c r="C58" s="561">
        <f>C59+C62</f>
        <v>13403.612550000002</v>
      </c>
      <c r="D58" s="562"/>
      <c r="E58" s="289">
        <f aca="true" t="shared" si="10" ref="E58:P58">E59+E62</f>
        <v>1667.90546</v>
      </c>
      <c r="F58" s="289">
        <f t="shared" si="10"/>
        <v>1133.81587</v>
      </c>
      <c r="G58" s="289">
        <f t="shared" si="10"/>
        <v>1223.1245800000002</v>
      </c>
      <c r="H58" s="289">
        <f t="shared" si="10"/>
        <v>0</v>
      </c>
      <c r="I58" s="289">
        <f t="shared" si="10"/>
        <v>0</v>
      </c>
      <c r="J58" s="289">
        <f t="shared" si="10"/>
        <v>0</v>
      </c>
      <c r="K58" s="289">
        <f t="shared" si="10"/>
        <v>0</v>
      </c>
      <c r="L58" s="289">
        <f t="shared" si="10"/>
        <v>0</v>
      </c>
      <c r="M58" s="289">
        <f t="shared" si="10"/>
        <v>0</v>
      </c>
      <c r="N58" s="289">
        <f t="shared" si="10"/>
        <v>0</v>
      </c>
      <c r="O58" s="289">
        <f t="shared" si="10"/>
        <v>0</v>
      </c>
      <c r="P58" s="289">
        <f t="shared" si="10"/>
        <v>0</v>
      </c>
      <c r="Q58" s="258"/>
      <c r="T58" s="260"/>
    </row>
    <row r="59" spans="1:20" ht="51.75" customHeight="1">
      <c r="A59" s="552" t="s">
        <v>334</v>
      </c>
      <c r="B59" s="553"/>
      <c r="C59" s="556">
        <f>SUM(C60:D61)</f>
        <v>13091.771550000001</v>
      </c>
      <c r="D59" s="557"/>
      <c r="E59" s="371">
        <f aca="true" t="shared" si="11" ref="E59:P59">SUM(E60:E61)</f>
        <v>1564.02946</v>
      </c>
      <c r="F59" s="371">
        <f t="shared" si="11"/>
        <v>1133.81587</v>
      </c>
      <c r="G59" s="371">
        <f t="shared" si="11"/>
        <v>1223.1245800000002</v>
      </c>
      <c r="H59" s="371">
        <f t="shared" si="11"/>
        <v>0</v>
      </c>
      <c r="I59" s="371">
        <f t="shared" si="11"/>
        <v>0</v>
      </c>
      <c r="J59" s="371">
        <f t="shared" si="11"/>
        <v>0</v>
      </c>
      <c r="K59" s="371">
        <f t="shared" si="11"/>
        <v>0</v>
      </c>
      <c r="L59" s="371">
        <f t="shared" si="11"/>
        <v>0</v>
      </c>
      <c r="M59" s="371">
        <f t="shared" si="11"/>
        <v>0</v>
      </c>
      <c r="N59" s="371">
        <f t="shared" si="11"/>
        <v>0</v>
      </c>
      <c r="O59" s="371">
        <f t="shared" si="11"/>
        <v>0</v>
      </c>
      <c r="P59" s="371">
        <f t="shared" si="11"/>
        <v>0</v>
      </c>
      <c r="T59" s="255"/>
    </row>
    <row r="60" spans="1:20" ht="12.75">
      <c r="A60" s="544" t="s">
        <v>325</v>
      </c>
      <c r="B60" s="545"/>
      <c r="C60" s="546">
        <f>SUM(E60:P60)+'отчет 1433-2'!C60:D60</f>
        <v>6253.659930000001</v>
      </c>
      <c r="D60" s="547"/>
      <c r="E60" s="252">
        <f>касса!K17/1000</f>
        <v>454.05</v>
      </c>
      <c r="F60" s="252">
        <f>касса!L17/1000</f>
        <v>311.494</v>
      </c>
      <c r="G60" s="252">
        <f>касса!M17/1000</f>
        <v>462.84953</v>
      </c>
      <c r="H60" s="252"/>
      <c r="I60" s="252"/>
      <c r="J60" s="252"/>
      <c r="K60" s="252"/>
      <c r="L60" s="252"/>
      <c r="M60" s="252"/>
      <c r="N60" s="253"/>
      <c r="O60" s="253"/>
      <c r="P60" s="253"/>
      <c r="T60" s="255"/>
    </row>
    <row r="61" spans="1:20" ht="12.75">
      <c r="A61" s="544" t="s">
        <v>335</v>
      </c>
      <c r="B61" s="545"/>
      <c r="C61" s="546">
        <f>SUM(E61:P61)+'отчет 1433-2'!C61:D61</f>
        <v>6838.11162</v>
      </c>
      <c r="D61" s="547"/>
      <c r="E61" s="252">
        <f>касса!K18/1000</f>
        <v>1109.97946</v>
      </c>
      <c r="F61" s="252">
        <f>касса!L18/1000</f>
        <v>822.32187</v>
      </c>
      <c r="G61" s="252">
        <f>касса!M18/1000</f>
        <v>760.2750500000001</v>
      </c>
      <c r="H61" s="252"/>
      <c r="I61" s="252"/>
      <c r="J61" s="252"/>
      <c r="K61" s="252"/>
      <c r="L61" s="252"/>
      <c r="M61" s="252"/>
      <c r="N61" s="254"/>
      <c r="O61" s="254"/>
      <c r="P61" s="254"/>
      <c r="T61" s="255"/>
    </row>
    <row r="62" spans="1:21" ht="54" customHeight="1">
      <c r="A62" s="552" t="s">
        <v>336</v>
      </c>
      <c r="B62" s="553"/>
      <c r="C62" s="556">
        <f>C63</f>
        <v>311.841</v>
      </c>
      <c r="D62" s="557"/>
      <c r="E62" s="371">
        <f aca="true" t="shared" si="12" ref="E62:P62">E63</f>
        <v>103.876</v>
      </c>
      <c r="F62" s="371">
        <f t="shared" si="12"/>
        <v>0</v>
      </c>
      <c r="G62" s="371">
        <f t="shared" si="12"/>
        <v>0</v>
      </c>
      <c r="H62" s="371">
        <f t="shared" si="12"/>
        <v>0</v>
      </c>
      <c r="I62" s="371">
        <f t="shared" si="12"/>
        <v>0</v>
      </c>
      <c r="J62" s="371">
        <f t="shared" si="12"/>
        <v>0</v>
      </c>
      <c r="K62" s="371">
        <f t="shared" si="12"/>
        <v>0</v>
      </c>
      <c r="L62" s="371">
        <f t="shared" si="12"/>
        <v>0</v>
      </c>
      <c r="M62" s="371">
        <f t="shared" si="12"/>
        <v>0</v>
      </c>
      <c r="N62" s="371">
        <f t="shared" si="12"/>
        <v>0</v>
      </c>
      <c r="O62" s="371">
        <f t="shared" si="12"/>
        <v>0</v>
      </c>
      <c r="P62" s="371">
        <f t="shared" si="12"/>
        <v>0</v>
      </c>
      <c r="T62" s="255"/>
      <c r="U62" s="255"/>
    </row>
    <row r="63" spans="1:21" ht="16.5" customHeight="1">
      <c r="A63" s="544" t="s">
        <v>327</v>
      </c>
      <c r="B63" s="545"/>
      <c r="C63" s="546">
        <f>SUM(E63:P63)+'отчет 1433-2'!C63:D63</f>
        <v>311.841</v>
      </c>
      <c r="D63" s="547"/>
      <c r="E63" s="252">
        <f>касса!K19/1000</f>
        <v>103.876</v>
      </c>
      <c r="F63" s="252">
        <f>касса!L19/1000</f>
        <v>0</v>
      </c>
      <c r="G63" s="252">
        <f>касса!M19/1000</f>
        <v>0</v>
      </c>
      <c r="H63" s="252"/>
      <c r="I63" s="252"/>
      <c r="J63" s="252"/>
      <c r="K63" s="252"/>
      <c r="L63" s="252"/>
      <c r="M63" s="252"/>
      <c r="N63" s="252"/>
      <c r="O63" s="252"/>
      <c r="P63" s="252"/>
      <c r="T63" s="255"/>
      <c r="U63" s="255"/>
    </row>
    <row r="64" spans="1:19" ht="53.25" customHeight="1">
      <c r="A64" s="552" t="s">
        <v>337</v>
      </c>
      <c r="B64" s="553"/>
      <c r="C64" s="554">
        <f>SUM(C65:D72)</f>
        <v>174.6867</v>
      </c>
      <c r="D64" s="555"/>
      <c r="E64" s="370">
        <f aca="true" t="shared" si="13" ref="E64:P64">SUM(E65:E72)</f>
        <v>0</v>
      </c>
      <c r="F64" s="370">
        <f t="shared" si="13"/>
        <v>36.0249</v>
      </c>
      <c r="G64" s="370">
        <f t="shared" si="13"/>
        <v>53.3988</v>
      </c>
      <c r="H64" s="370">
        <f t="shared" si="13"/>
        <v>0</v>
      </c>
      <c r="I64" s="370">
        <f t="shared" si="13"/>
        <v>0</v>
      </c>
      <c r="J64" s="370">
        <f t="shared" si="13"/>
        <v>0</v>
      </c>
      <c r="K64" s="370">
        <f t="shared" si="13"/>
        <v>0</v>
      </c>
      <c r="L64" s="370">
        <f t="shared" si="13"/>
        <v>0</v>
      </c>
      <c r="M64" s="370">
        <f t="shared" si="13"/>
        <v>0</v>
      </c>
      <c r="N64" s="370">
        <f t="shared" si="13"/>
        <v>0</v>
      </c>
      <c r="O64" s="370">
        <f t="shared" si="13"/>
        <v>0</v>
      </c>
      <c r="P64" s="370">
        <f t="shared" si="13"/>
        <v>0</v>
      </c>
      <c r="Q64" s="229"/>
      <c r="R64" s="255"/>
      <c r="S64" s="255"/>
    </row>
    <row r="65" spans="1:21" ht="28.5" customHeight="1">
      <c r="A65" s="544" t="s">
        <v>338</v>
      </c>
      <c r="B65" s="545"/>
      <c r="C65" s="546">
        <f aca="true" t="shared" si="14" ref="C65:C71">SUM(E65:P65)</f>
        <v>0</v>
      </c>
      <c r="D65" s="547"/>
      <c r="E65" s="252"/>
      <c r="F65" s="252"/>
      <c r="G65" s="252"/>
      <c r="H65" s="252"/>
      <c r="I65" s="252"/>
      <c r="J65" s="252"/>
      <c r="K65" s="252"/>
      <c r="L65" s="252"/>
      <c r="M65" s="252"/>
      <c r="N65" s="257"/>
      <c r="O65" s="257"/>
      <c r="P65" s="257"/>
      <c r="T65" s="255"/>
      <c r="U65" s="255"/>
    </row>
    <row r="66" spans="1:21" ht="15.75" customHeight="1">
      <c r="A66" s="544" t="s">
        <v>248</v>
      </c>
      <c r="B66" s="545"/>
      <c r="C66" s="546">
        <f t="shared" si="14"/>
        <v>0</v>
      </c>
      <c r="D66" s="547"/>
      <c r="E66" s="252"/>
      <c r="F66" s="252"/>
      <c r="G66" s="252"/>
      <c r="H66" s="252"/>
      <c r="I66" s="252"/>
      <c r="J66" s="252"/>
      <c r="K66" s="252"/>
      <c r="L66" s="252"/>
      <c r="M66" s="252"/>
      <c r="N66" s="257"/>
      <c r="O66" s="257"/>
      <c r="P66" s="257"/>
      <c r="T66" s="255"/>
      <c r="U66" s="255"/>
    </row>
    <row r="67" spans="1:21" ht="27.75" customHeight="1">
      <c r="A67" s="544" t="s">
        <v>249</v>
      </c>
      <c r="B67" s="545"/>
      <c r="C67" s="546">
        <f t="shared" si="14"/>
        <v>0</v>
      </c>
      <c r="D67" s="547"/>
      <c r="E67" s="252"/>
      <c r="F67" s="252"/>
      <c r="G67" s="252"/>
      <c r="H67" s="252"/>
      <c r="I67" s="252"/>
      <c r="J67" s="252"/>
      <c r="K67" s="252"/>
      <c r="L67" s="252"/>
      <c r="M67" s="252"/>
      <c r="N67" s="257"/>
      <c r="O67" s="257"/>
      <c r="P67" s="257"/>
      <c r="T67" s="255"/>
      <c r="U67" s="255"/>
    </row>
    <row r="68" spans="1:21" ht="27.75" customHeight="1">
      <c r="A68" s="544" t="s">
        <v>250</v>
      </c>
      <c r="B68" s="545"/>
      <c r="C68" s="546">
        <f t="shared" si="14"/>
        <v>0</v>
      </c>
      <c r="D68" s="547"/>
      <c r="E68" s="252"/>
      <c r="F68" s="252"/>
      <c r="G68" s="252"/>
      <c r="H68" s="252"/>
      <c r="I68" s="252"/>
      <c r="J68" s="252"/>
      <c r="K68" s="252"/>
      <c r="L68" s="252"/>
      <c r="M68" s="252"/>
      <c r="N68" s="257"/>
      <c r="O68" s="257"/>
      <c r="P68" s="257"/>
      <c r="T68" s="255"/>
      <c r="U68" s="255"/>
    </row>
    <row r="69" spans="1:21" ht="27" customHeight="1">
      <c r="A69" s="544" t="s">
        <v>339</v>
      </c>
      <c r="B69" s="545"/>
      <c r="C69" s="546">
        <f t="shared" si="14"/>
        <v>0</v>
      </c>
      <c r="D69" s="547"/>
      <c r="E69" s="252"/>
      <c r="F69" s="252"/>
      <c r="G69" s="252"/>
      <c r="H69" s="252"/>
      <c r="I69" s="252"/>
      <c r="J69" s="252"/>
      <c r="K69" s="252"/>
      <c r="L69" s="252"/>
      <c r="M69" s="252"/>
      <c r="N69" s="257"/>
      <c r="O69" s="257"/>
      <c r="P69" s="257"/>
      <c r="T69" s="255"/>
      <c r="U69" s="255"/>
    </row>
    <row r="70" spans="1:21" ht="37.5" customHeight="1">
      <c r="A70" s="544" t="s">
        <v>251</v>
      </c>
      <c r="B70" s="545"/>
      <c r="C70" s="546">
        <f t="shared" si="14"/>
        <v>0</v>
      </c>
      <c r="D70" s="547"/>
      <c r="E70" s="252"/>
      <c r="F70" s="252"/>
      <c r="G70" s="252"/>
      <c r="H70" s="252"/>
      <c r="I70" s="252"/>
      <c r="J70" s="252"/>
      <c r="K70" s="252"/>
      <c r="L70" s="252"/>
      <c r="M70" s="252"/>
      <c r="N70" s="257"/>
      <c r="O70" s="257"/>
      <c r="P70" s="257"/>
      <c r="T70" s="255"/>
      <c r="U70" s="255"/>
    </row>
    <row r="71" spans="1:21" ht="27.75" customHeight="1">
      <c r="A71" s="544" t="s">
        <v>252</v>
      </c>
      <c r="B71" s="545"/>
      <c r="C71" s="546">
        <f t="shared" si="14"/>
        <v>0</v>
      </c>
      <c r="D71" s="547"/>
      <c r="E71" s="252"/>
      <c r="F71" s="252"/>
      <c r="G71" s="252"/>
      <c r="H71" s="252"/>
      <c r="I71" s="252"/>
      <c r="J71" s="252"/>
      <c r="K71" s="252"/>
      <c r="L71" s="252"/>
      <c r="M71" s="252"/>
      <c r="N71" s="257"/>
      <c r="O71" s="257"/>
      <c r="P71" s="257"/>
      <c r="T71" s="255"/>
      <c r="U71" s="255"/>
    </row>
    <row r="72" spans="1:21" ht="27.75" customHeight="1">
      <c r="A72" s="544" t="s">
        <v>253</v>
      </c>
      <c r="B72" s="545"/>
      <c r="C72" s="546">
        <f>SUM(E72:P72)+'отчет 1433-2'!C72:D72</f>
        <v>174.6867</v>
      </c>
      <c r="D72" s="547"/>
      <c r="E72" s="252"/>
      <c r="F72" s="252">
        <v>36.0249</v>
      </c>
      <c r="G72" s="252">
        <v>53.3988</v>
      </c>
      <c r="H72" s="252"/>
      <c r="I72" s="252"/>
      <c r="J72" s="252"/>
      <c r="K72" s="252"/>
      <c r="L72" s="252"/>
      <c r="M72" s="252"/>
      <c r="N72" s="257"/>
      <c r="O72" s="257"/>
      <c r="P72" s="257"/>
      <c r="T72" s="255"/>
      <c r="U72" s="255"/>
    </row>
    <row r="74" spans="14:16" ht="12.75">
      <c r="N74" s="255"/>
      <c r="O74" s="255"/>
      <c r="P74" s="255"/>
    </row>
    <row r="75" spans="1:17" s="241" customFormat="1" ht="15">
      <c r="A75" s="241" t="s">
        <v>340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P75" s="261"/>
      <c r="Q75" s="242"/>
    </row>
    <row r="76" spans="4:17" s="241" customFormat="1" ht="15" hidden="1"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P76" s="261"/>
      <c r="Q76" s="242"/>
    </row>
    <row r="77" spans="1:17" s="241" customFormat="1" ht="15">
      <c r="A77" s="241" t="s">
        <v>341</v>
      </c>
      <c r="P77" s="261"/>
      <c r="Q77" s="242"/>
    </row>
    <row r="78" spans="14:17" s="232" customFormat="1" ht="15">
      <c r="N78" s="262"/>
      <c r="Q78" s="235"/>
    </row>
    <row r="79" spans="1:9" s="232" customFormat="1" ht="15" customHeight="1">
      <c r="A79" s="540" t="s">
        <v>342</v>
      </c>
      <c r="B79" s="540" t="s">
        <v>311</v>
      </c>
      <c r="C79" s="548" t="s">
        <v>343</v>
      </c>
      <c r="D79" s="549"/>
      <c r="E79" s="263"/>
      <c r="F79" s="529" t="s">
        <v>344</v>
      </c>
      <c r="G79" s="530"/>
      <c r="I79" s="235"/>
    </row>
    <row r="80" spans="1:9" s="232" customFormat="1" ht="15" customHeight="1">
      <c r="A80" s="540"/>
      <c r="B80" s="540"/>
      <c r="C80" s="550"/>
      <c r="D80" s="551"/>
      <c r="E80" s="264"/>
      <c r="F80" s="531"/>
      <c r="G80" s="532"/>
      <c r="I80" s="235"/>
    </row>
    <row r="81" spans="1:9" s="232" customFormat="1" ht="24.75" customHeight="1">
      <c r="A81" s="265"/>
      <c r="B81" s="266"/>
      <c r="C81" s="542"/>
      <c r="D81" s="543"/>
      <c r="E81" s="246" t="s">
        <v>345</v>
      </c>
      <c r="F81" s="527" t="s">
        <v>345</v>
      </c>
      <c r="G81" s="528"/>
      <c r="I81" s="235"/>
    </row>
    <row r="82" spans="1:9" s="232" customFormat="1" ht="25.5" customHeight="1">
      <c r="A82" s="265"/>
      <c r="B82" s="266"/>
      <c r="C82" s="542"/>
      <c r="D82" s="543"/>
      <c r="E82" s="246"/>
      <c r="F82" s="527"/>
      <c r="G82" s="528"/>
      <c r="I82" s="235"/>
    </row>
    <row r="83" spans="1:9" s="232" customFormat="1" ht="26.25" customHeight="1">
      <c r="A83" s="265"/>
      <c r="B83" s="266"/>
      <c r="C83" s="542"/>
      <c r="D83" s="543"/>
      <c r="E83" s="246"/>
      <c r="F83" s="527"/>
      <c r="G83" s="528"/>
      <c r="I83" s="235"/>
    </row>
    <row r="84" spans="6:17" ht="15">
      <c r="F84" s="267"/>
      <c r="I84" s="231"/>
      <c r="Q84" s="229"/>
    </row>
    <row r="85" spans="6:17" ht="15">
      <c r="F85" s="267"/>
      <c r="I85" s="231"/>
      <c r="Q85" s="229"/>
    </row>
    <row r="86" spans="1:9" s="241" customFormat="1" ht="15">
      <c r="A86" s="241" t="s">
        <v>346</v>
      </c>
      <c r="F86" s="262"/>
      <c r="I86" s="242"/>
    </row>
    <row r="87" spans="6:17" ht="15">
      <c r="F87" s="267"/>
      <c r="I87" s="231"/>
      <c r="Q87" s="229"/>
    </row>
    <row r="88" spans="1:17" ht="12.75" customHeight="1">
      <c r="A88" s="540" t="s">
        <v>342</v>
      </c>
      <c r="B88" s="540" t="s">
        <v>311</v>
      </c>
      <c r="C88" s="548" t="s">
        <v>347</v>
      </c>
      <c r="D88" s="549"/>
      <c r="E88" s="263"/>
      <c r="F88" s="529" t="s">
        <v>348</v>
      </c>
      <c r="G88" s="530"/>
      <c r="I88" s="231"/>
      <c r="Q88" s="229"/>
    </row>
    <row r="89" spans="1:17" ht="12.75">
      <c r="A89" s="540"/>
      <c r="B89" s="540"/>
      <c r="C89" s="550"/>
      <c r="D89" s="551"/>
      <c r="E89" s="264"/>
      <c r="F89" s="531"/>
      <c r="G89" s="532"/>
      <c r="I89" s="231"/>
      <c r="Q89" s="229"/>
    </row>
    <row r="90" spans="1:17" ht="24.75" customHeight="1">
      <c r="A90" s="265"/>
      <c r="B90" s="266"/>
      <c r="C90" s="542"/>
      <c r="D90" s="543"/>
      <c r="E90" s="246" t="s">
        <v>345</v>
      </c>
      <c r="F90" s="527" t="s">
        <v>345</v>
      </c>
      <c r="G90" s="528"/>
      <c r="I90" s="231"/>
      <c r="Q90" s="229"/>
    </row>
    <row r="91" spans="1:17" ht="23.25" customHeight="1">
      <c r="A91" s="265"/>
      <c r="B91" s="266"/>
      <c r="C91" s="542"/>
      <c r="D91" s="543"/>
      <c r="E91" s="246"/>
      <c r="F91" s="527"/>
      <c r="G91" s="528"/>
      <c r="I91" s="231"/>
      <c r="Q91" s="229"/>
    </row>
    <row r="92" spans="1:17" ht="26.25" customHeight="1">
      <c r="A92" s="265"/>
      <c r="B92" s="266"/>
      <c r="C92" s="542"/>
      <c r="D92" s="543"/>
      <c r="E92" s="246"/>
      <c r="F92" s="527"/>
      <c r="G92" s="528"/>
      <c r="I92" s="231"/>
      <c r="Q92" s="229"/>
    </row>
    <row r="93" spans="4:14" ht="15"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7"/>
    </row>
    <row r="94" ht="15">
      <c r="N94" s="267"/>
    </row>
    <row r="95" spans="1:17" s="269" customFormat="1" ht="15">
      <c r="A95" s="241" t="s">
        <v>349</v>
      </c>
      <c r="B95" s="241"/>
      <c r="N95" s="267"/>
      <c r="Q95" s="270"/>
    </row>
    <row r="96" ht="15">
      <c r="N96" s="267"/>
    </row>
    <row r="97" spans="1:5" s="232" customFormat="1" ht="15" customHeight="1">
      <c r="A97" s="540" t="s">
        <v>342</v>
      </c>
      <c r="B97" s="540" t="s">
        <v>350</v>
      </c>
      <c r="C97" s="540" t="s">
        <v>259</v>
      </c>
      <c r="D97" s="540" t="s">
        <v>260</v>
      </c>
      <c r="E97" s="541" t="s">
        <v>351</v>
      </c>
    </row>
    <row r="98" spans="1:5" s="232" customFormat="1" ht="22.5" customHeight="1">
      <c r="A98" s="540"/>
      <c r="B98" s="540"/>
      <c r="C98" s="540"/>
      <c r="D98" s="540"/>
      <c r="E98" s="541"/>
    </row>
    <row r="99" spans="1:5" s="232" customFormat="1" ht="63.75">
      <c r="A99" s="265">
        <v>1</v>
      </c>
      <c r="B99" s="271" t="s">
        <v>267</v>
      </c>
      <c r="C99" s="272"/>
      <c r="D99" s="273" t="s">
        <v>352</v>
      </c>
      <c r="E99" s="273" t="s">
        <v>352</v>
      </c>
    </row>
    <row r="100" spans="1:17" ht="13.5" customHeight="1">
      <c r="A100" s="265">
        <v>2</v>
      </c>
      <c r="B100" s="274" t="s">
        <v>269</v>
      </c>
      <c r="C100" s="272"/>
      <c r="D100" s="245" t="s">
        <v>270</v>
      </c>
      <c r="E100" s="248" t="s">
        <v>345</v>
      </c>
      <c r="Q100" s="229"/>
    </row>
    <row r="101" spans="1:17" ht="38.25">
      <c r="A101" s="265">
        <v>3</v>
      </c>
      <c r="B101" s="274" t="s">
        <v>271</v>
      </c>
      <c r="C101" s="272"/>
      <c r="D101" s="245" t="s">
        <v>272</v>
      </c>
      <c r="E101" s="245" t="s">
        <v>272</v>
      </c>
      <c r="Q101" s="229"/>
    </row>
    <row r="102" spans="1:17" ht="39" customHeight="1">
      <c r="A102" s="265">
        <v>4</v>
      </c>
      <c r="B102" s="274" t="s">
        <v>271</v>
      </c>
      <c r="C102" s="272"/>
      <c r="D102" s="275" t="s">
        <v>274</v>
      </c>
      <c r="E102" s="275" t="s">
        <v>274</v>
      </c>
      <c r="Q102" s="229"/>
    </row>
    <row r="103" spans="1:17" ht="12.75">
      <c r="A103" s="276"/>
      <c r="B103" s="277"/>
      <c r="C103" s="278"/>
      <c r="D103" s="278"/>
      <c r="E103" s="278"/>
      <c r="F103" s="278"/>
      <c r="H103" s="278"/>
      <c r="K103" s="231"/>
      <c r="Q103" s="229"/>
    </row>
    <row r="104" spans="1:17" ht="12.75">
      <c r="A104" s="276"/>
      <c r="B104" s="277"/>
      <c r="C104" s="278"/>
      <c r="D104" s="278"/>
      <c r="E104" s="278"/>
      <c r="F104" s="278"/>
      <c r="H104" s="278"/>
      <c r="K104" s="231"/>
      <c r="Q104" s="229"/>
    </row>
    <row r="105" spans="1:17" ht="12.75">
      <c r="A105" s="276"/>
      <c r="B105" s="277"/>
      <c r="C105" s="278"/>
      <c r="D105" s="278"/>
      <c r="E105" s="278"/>
      <c r="F105" s="278"/>
      <c r="H105" s="278"/>
      <c r="K105" s="231"/>
      <c r="Q105" s="229"/>
    </row>
    <row r="106" spans="1:11" s="241" customFormat="1" ht="15">
      <c r="A106" s="241" t="s">
        <v>353</v>
      </c>
      <c r="K106" s="242"/>
    </row>
    <row r="107" spans="11:17" ht="12.75">
      <c r="K107" s="231"/>
      <c r="Q107" s="229"/>
    </row>
    <row r="108" spans="1:5" s="232" customFormat="1" ht="51">
      <c r="A108" s="537" t="s">
        <v>354</v>
      </c>
      <c r="B108" s="537"/>
      <c r="C108" s="245" t="s">
        <v>287</v>
      </c>
      <c r="D108" s="243" t="s">
        <v>355</v>
      </c>
      <c r="E108" s="245" t="s">
        <v>356</v>
      </c>
    </row>
    <row r="109" spans="1:5" s="232" customFormat="1" ht="42" customHeight="1">
      <c r="A109" s="538" t="s">
        <v>316</v>
      </c>
      <c r="B109" s="538"/>
      <c r="C109" s="245" t="s">
        <v>379</v>
      </c>
      <c r="D109" s="290">
        <f>C58+C64</f>
        <v>13578.299250000002</v>
      </c>
      <c r="E109" s="265">
        <f>D31</f>
        <v>152</v>
      </c>
    </row>
    <row r="111" s="279" customFormat="1" ht="13.5" customHeight="1" thickBot="1"/>
    <row r="112" spans="1:2" s="279" customFormat="1" ht="15">
      <c r="A112" s="280" t="s">
        <v>228</v>
      </c>
      <c r="B112" s="281" t="s">
        <v>357</v>
      </c>
    </row>
    <row r="113" spans="1:17" s="232" customFormat="1" ht="15">
      <c r="A113" s="241" t="s">
        <v>358</v>
      </c>
      <c r="Q113" s="235"/>
    </row>
    <row r="114" spans="1:17" s="232" customFormat="1" ht="15">
      <c r="A114" s="241"/>
      <c r="Q114" s="235"/>
    </row>
    <row r="115" spans="1:17" s="269" customFormat="1" ht="17.25" customHeight="1">
      <c r="A115" s="539" t="s">
        <v>359</v>
      </c>
      <c r="B115" s="539"/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Q115" s="270"/>
    </row>
    <row r="117" spans="1:17" ht="12.75">
      <c r="A117" s="566" t="s">
        <v>399</v>
      </c>
      <c r="B117" s="566"/>
      <c r="C117" s="566"/>
      <c r="D117" s="566"/>
      <c r="E117" s="282"/>
      <c r="G117" s="231"/>
      <c r="Q117" s="229"/>
    </row>
    <row r="118" spans="1:17" ht="17.25" customHeight="1">
      <c r="A118" s="283"/>
      <c r="B118" s="283"/>
      <c r="C118" s="283"/>
      <c r="D118" s="283"/>
      <c r="E118" s="283"/>
      <c r="G118" s="231"/>
      <c r="Q118" s="229"/>
    </row>
    <row r="119" spans="1:17" ht="17.25" customHeight="1">
      <c r="A119" s="283"/>
      <c r="B119" s="283"/>
      <c r="C119" s="283"/>
      <c r="D119" s="283"/>
      <c r="E119" s="283"/>
      <c r="G119" s="231"/>
      <c r="Q119" s="229"/>
    </row>
    <row r="120" spans="1:17" ht="12.75">
      <c r="A120" s="278"/>
      <c r="B120" s="278"/>
      <c r="C120" s="278"/>
      <c r="D120" s="278"/>
      <c r="E120" s="278"/>
      <c r="G120" s="231"/>
      <c r="Q120" s="229"/>
    </row>
    <row r="121" ht="12.75" hidden="1"/>
    <row r="123" spans="1:17" s="232" customFormat="1" ht="36" customHeight="1">
      <c r="A123" s="539" t="s">
        <v>360</v>
      </c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Q123" s="235"/>
    </row>
    <row r="125" spans="1:17" ht="12.75">
      <c r="A125" s="282" t="s">
        <v>402</v>
      </c>
      <c r="B125" s="282"/>
      <c r="C125" s="282"/>
      <c r="D125" s="282"/>
      <c r="E125" s="282"/>
      <c r="F125" s="282"/>
      <c r="G125" s="231"/>
      <c r="Q125" s="229"/>
    </row>
    <row r="126" spans="1:17" ht="17.25" customHeight="1">
      <c r="A126" s="283"/>
      <c r="B126" s="283"/>
      <c r="C126" s="283"/>
      <c r="D126" s="283"/>
      <c r="E126" s="283"/>
      <c r="G126" s="231"/>
      <c r="Q126" s="229"/>
    </row>
    <row r="127" spans="1:17" ht="15.75" customHeight="1">
      <c r="A127" s="283"/>
      <c r="B127" s="283"/>
      <c r="C127" s="283"/>
      <c r="D127" s="283"/>
      <c r="E127" s="283"/>
      <c r="G127" s="231"/>
      <c r="Q127" s="229"/>
    </row>
    <row r="128" spans="1:17" ht="12.75">
      <c r="A128" s="278"/>
      <c r="B128" s="278"/>
      <c r="C128" s="278"/>
      <c r="D128" s="278"/>
      <c r="E128" s="278"/>
      <c r="G128" s="231"/>
      <c r="Q128" s="229"/>
    </row>
    <row r="129" spans="7:17" ht="12.75">
      <c r="G129" s="231"/>
      <c r="Q129" s="229"/>
    </row>
    <row r="130" spans="1:17" s="241" customFormat="1" ht="27.75" customHeight="1">
      <c r="A130" s="241" t="s">
        <v>361</v>
      </c>
      <c r="Q130" s="242"/>
    </row>
    <row r="131" spans="2:17" ht="12.75">
      <c r="B131" s="278"/>
      <c r="G131" s="231"/>
      <c r="Q131" s="229"/>
    </row>
    <row r="132" spans="1:17" ht="12.75">
      <c r="A132" s="284" t="s">
        <v>403</v>
      </c>
      <c r="B132" s="282"/>
      <c r="C132" s="284"/>
      <c r="D132" s="284"/>
      <c r="E132" s="284"/>
      <c r="G132" s="231"/>
      <c r="Q132" s="229"/>
    </row>
    <row r="133" spans="1:17" ht="16.5" customHeight="1">
      <c r="A133" s="283"/>
      <c r="B133" s="283"/>
      <c r="C133" s="283"/>
      <c r="D133" s="283"/>
      <c r="E133" s="283"/>
      <c r="G133" s="231"/>
      <c r="Q133" s="229"/>
    </row>
    <row r="134" spans="1:17" ht="15.75" customHeight="1">
      <c r="A134" s="283"/>
      <c r="B134" s="283"/>
      <c r="C134" s="283"/>
      <c r="D134" s="283"/>
      <c r="E134" s="283"/>
      <c r="G134" s="231"/>
      <c r="Q134" s="229"/>
    </row>
    <row r="135" spans="1:14" ht="12.7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</row>
    <row r="136" spans="1:14" ht="12.7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</row>
    <row r="137" spans="1:14" ht="12.7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</row>
    <row r="140" spans="1:13" s="232" customFormat="1" ht="16.5">
      <c r="A140" s="533" t="s">
        <v>385</v>
      </c>
      <c r="B140" s="533"/>
      <c r="D140" s="291"/>
      <c r="L140" s="291" t="s">
        <v>157</v>
      </c>
      <c r="M140" s="232" t="s">
        <v>310</v>
      </c>
    </row>
    <row r="141" spans="1:17" s="232" customFormat="1" ht="16.5">
      <c r="A141" s="285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Q141" s="235"/>
    </row>
    <row r="142" spans="1:16" s="232" customFormat="1" ht="16.5">
      <c r="A142" s="285"/>
      <c r="B142" s="242" t="s">
        <v>311</v>
      </c>
      <c r="C142" s="364">
        <v>41558</v>
      </c>
      <c r="D142" s="242" t="s">
        <v>312</v>
      </c>
      <c r="E142" s="242"/>
      <c r="F142" s="242"/>
      <c r="G142" s="242"/>
      <c r="H142" s="242"/>
      <c r="I142" s="242"/>
      <c r="J142" s="242"/>
      <c r="K142" s="242"/>
      <c r="L142" s="242"/>
      <c r="M142" s="242"/>
      <c r="P142" s="235"/>
    </row>
    <row r="143" spans="1:3" ht="21" customHeight="1">
      <c r="A143" s="287"/>
      <c r="B143" s="288"/>
      <c r="C143" s="288"/>
    </row>
    <row r="144" spans="1:3" ht="16.5" customHeight="1">
      <c r="A144" s="287"/>
      <c r="B144" s="288"/>
      <c r="C144" s="288"/>
    </row>
    <row r="145" spans="2:3" ht="12.75" customHeight="1">
      <c r="B145" s="288"/>
      <c r="C145" s="288"/>
    </row>
    <row r="146" spans="2:3" ht="12.75" customHeight="1">
      <c r="B146" s="288"/>
      <c r="C146" s="288"/>
    </row>
    <row r="147" spans="2:3" ht="12.75" customHeight="1">
      <c r="B147" s="288"/>
      <c r="C147" s="288"/>
    </row>
    <row r="148" spans="2:3" ht="12" customHeight="1">
      <c r="B148" s="288"/>
      <c r="C148" s="288"/>
    </row>
    <row r="149" ht="12" customHeight="1">
      <c r="C149" s="288"/>
    </row>
    <row r="150" ht="13.5" customHeight="1">
      <c r="C150" s="288"/>
    </row>
  </sheetData>
  <sheetProtection/>
  <mergeCells count="110">
    <mergeCell ref="A13:P13"/>
    <mergeCell ref="A14:P14"/>
    <mergeCell ref="A24:B24"/>
    <mergeCell ref="E24:P24"/>
    <mergeCell ref="A25:P25"/>
    <mergeCell ref="A26:B26"/>
    <mergeCell ref="A27:B27"/>
    <mergeCell ref="A28:B28"/>
    <mergeCell ref="A29:B29"/>
    <mergeCell ref="A30:P30"/>
    <mergeCell ref="A31:B31"/>
    <mergeCell ref="A32:B32"/>
    <mergeCell ref="A33:B33"/>
    <mergeCell ref="A34:B34"/>
    <mergeCell ref="A40:B40"/>
    <mergeCell ref="C40:D40"/>
    <mergeCell ref="N40:P40"/>
    <mergeCell ref="A41:P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P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A80"/>
    <mergeCell ref="B79:B80"/>
    <mergeCell ref="C79:D80"/>
    <mergeCell ref="F79:G80"/>
    <mergeCell ref="C81:D81"/>
    <mergeCell ref="F81:G81"/>
    <mergeCell ref="C82:D82"/>
    <mergeCell ref="F82:G82"/>
    <mergeCell ref="C83:D83"/>
    <mergeCell ref="F83:G83"/>
    <mergeCell ref="A88:A89"/>
    <mergeCell ref="B88:B89"/>
    <mergeCell ref="C88:D89"/>
    <mergeCell ref="F88:G89"/>
    <mergeCell ref="A108:B108"/>
    <mergeCell ref="C90:D90"/>
    <mergeCell ref="F90:G90"/>
    <mergeCell ref="C91:D91"/>
    <mergeCell ref="F91:G91"/>
    <mergeCell ref="C92:D92"/>
    <mergeCell ref="F92:G92"/>
    <mergeCell ref="A109:B109"/>
    <mergeCell ref="A115:O115"/>
    <mergeCell ref="A117:D117"/>
    <mergeCell ref="A123:O123"/>
    <mergeCell ref="A140:B140"/>
    <mergeCell ref="A97:A98"/>
    <mergeCell ref="B97:B98"/>
    <mergeCell ref="C97:C98"/>
    <mergeCell ref="D97:D98"/>
    <mergeCell ref="E97:E98"/>
  </mergeCells>
  <printOptions/>
  <pageMargins left="0.7" right="0.7" top="0.75" bottom="0.75" header="0.3" footer="0.3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workbookViewId="0" topLeftCell="I1">
      <selection activeCell="W30" sqref="W30"/>
    </sheetView>
  </sheetViews>
  <sheetFormatPr defaultColWidth="9.00390625" defaultRowHeight="12.75"/>
  <cols>
    <col min="1" max="1" width="9.125" style="279" customWidth="1"/>
    <col min="2" max="2" width="33.625" style="279" customWidth="1"/>
    <col min="3" max="3" width="8.75390625" style="279" bestFit="1" customWidth="1"/>
    <col min="4" max="8" width="14.75390625" style="279" bestFit="1" customWidth="1"/>
    <col min="9" max="9" width="15.00390625" style="279" customWidth="1"/>
    <col min="10" max="10" width="16.625" style="279" bestFit="1" customWidth="1"/>
    <col min="11" max="11" width="15.875" style="279" bestFit="1" customWidth="1"/>
    <col min="12" max="12" width="14.625" style="279" customWidth="1"/>
    <col min="13" max="13" width="14.75390625" style="279" bestFit="1" customWidth="1"/>
    <col min="14" max="14" width="15.00390625" style="279" customWidth="1"/>
    <col min="15" max="15" width="14.625" style="279" customWidth="1"/>
    <col min="16" max="16" width="14.25390625" style="279" customWidth="1"/>
    <col min="17" max="18" width="15.25390625" style="279" customWidth="1"/>
    <col min="19" max="19" width="15.875" style="279" bestFit="1" customWidth="1"/>
    <col min="20" max="20" width="17.25390625" style="279" customWidth="1"/>
    <col min="21" max="21" width="15.875" style="279" bestFit="1" customWidth="1"/>
    <col min="22" max="22" width="16.875" style="279" customWidth="1"/>
    <col min="23" max="16384" width="9.125" style="279" customWidth="1"/>
  </cols>
  <sheetData>
    <row r="1" spans="2:20" ht="15">
      <c r="B1" s="486" t="s">
        <v>432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</row>
    <row r="2" spans="2:20" ht="15">
      <c r="B2" s="332"/>
      <c r="C2" s="487" t="s">
        <v>93</v>
      </c>
      <c r="D2" s="487" t="s">
        <v>172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8"/>
      <c r="T2" s="333"/>
    </row>
    <row r="3" spans="2:20" ht="15">
      <c r="B3" s="332"/>
      <c r="C3" s="487"/>
      <c r="D3" s="332">
        <v>1</v>
      </c>
      <c r="E3" s="332">
        <v>2</v>
      </c>
      <c r="F3" s="332">
        <v>3</v>
      </c>
      <c r="G3" s="332" t="s">
        <v>171</v>
      </c>
      <c r="H3" s="332">
        <v>4</v>
      </c>
      <c r="I3" s="332">
        <v>5</v>
      </c>
      <c r="J3" s="332">
        <v>6</v>
      </c>
      <c r="K3" s="332" t="s">
        <v>170</v>
      </c>
      <c r="L3" s="332">
        <v>7</v>
      </c>
      <c r="M3" s="332">
        <v>8</v>
      </c>
      <c r="N3" s="332">
        <v>9</v>
      </c>
      <c r="O3" s="332" t="s">
        <v>169</v>
      </c>
      <c r="P3" s="332">
        <v>10</v>
      </c>
      <c r="Q3" s="332">
        <v>11</v>
      </c>
      <c r="R3" s="332">
        <v>12</v>
      </c>
      <c r="S3" s="332" t="s">
        <v>168</v>
      </c>
      <c r="T3" s="332"/>
    </row>
    <row r="4" spans="1:22" ht="15">
      <c r="A4" s="489" t="s">
        <v>409</v>
      </c>
      <c r="B4" s="332"/>
      <c r="C4" s="334">
        <v>211</v>
      </c>
      <c r="D4" s="351">
        <f>ROUND('прил.1+2'!L8*0.4,0)</f>
        <v>967444</v>
      </c>
      <c r="E4" s="351">
        <f>'прил.1+2'!L8</f>
        <v>2418611</v>
      </c>
      <c r="F4" s="351">
        <f>G4-D4-E4</f>
        <v>2418611</v>
      </c>
      <c r="G4" s="351">
        <v>5804666</v>
      </c>
      <c r="H4" s="351">
        <v>4086374.04</v>
      </c>
      <c r="I4" s="351">
        <v>1952349.46</v>
      </c>
      <c r="J4" s="351">
        <f>K4-H4-I4</f>
        <v>3635720.5</v>
      </c>
      <c r="K4" s="351">
        <v>9674444</v>
      </c>
      <c r="L4" s="351">
        <v>1191844.09</v>
      </c>
      <c r="M4" s="351">
        <v>1338966.97</v>
      </c>
      <c r="N4" s="351">
        <f>O4-L4-M4</f>
        <v>2306410.9400000004</v>
      </c>
      <c r="O4" s="351">
        <v>4837222</v>
      </c>
      <c r="P4" s="351">
        <v>4094176.65</v>
      </c>
      <c r="Q4" s="351">
        <v>802834.11</v>
      </c>
      <c r="R4" s="351">
        <v>3809989.24</v>
      </c>
      <c r="S4" s="351">
        <v>8707000</v>
      </c>
      <c r="T4" s="351">
        <f>T5+T6</f>
        <v>29023332</v>
      </c>
      <c r="U4" s="335">
        <f>проверка!C7</f>
        <v>29023332</v>
      </c>
      <c r="V4" s="335">
        <f>U4-T4</f>
        <v>0</v>
      </c>
    </row>
    <row r="5" spans="1:22" s="241" customFormat="1" ht="33.75">
      <c r="A5" s="489"/>
      <c r="B5" s="328" t="s">
        <v>167</v>
      </c>
      <c r="C5" s="336">
        <v>211</v>
      </c>
      <c r="D5" s="352">
        <f>ROUND('прил.1+2'!L9*0.4,0)</f>
        <v>502684</v>
      </c>
      <c r="E5" s="352">
        <f>'прил.1+2'!L9</f>
        <v>1256710.28</v>
      </c>
      <c r="F5" s="352">
        <f>E5</f>
        <v>1256710.28</v>
      </c>
      <c r="G5" s="353">
        <f>SUM(D5:F5)</f>
        <v>3016104.56</v>
      </c>
      <c r="H5" s="352">
        <f>H4*51.96%</f>
        <v>2123279.9511840004</v>
      </c>
      <c r="I5" s="352">
        <f>I4*51.96%</f>
        <v>1014440.7794160001</v>
      </c>
      <c r="J5" s="352">
        <f>J4*51.96%</f>
        <v>1889120.3718000003</v>
      </c>
      <c r="K5" s="354">
        <f>SUM(H5:J5)</f>
        <v>5026841.102400001</v>
      </c>
      <c r="L5" s="352">
        <f>L4*51.96%</f>
        <v>619282.1891640001</v>
      </c>
      <c r="M5" s="352">
        <f>M4*51.96%</f>
        <v>695727.2376120001</v>
      </c>
      <c r="N5" s="352">
        <f>N4*51.96%</f>
        <v>1198411.1244240003</v>
      </c>
      <c r="O5" s="352">
        <f>SUM(L5:N5)</f>
        <v>2513420.5512000006</v>
      </c>
      <c r="P5" s="352">
        <f>P4*51.96%</f>
        <v>2127334.18734</v>
      </c>
      <c r="Q5" s="352">
        <f>Q4*51.96%</f>
        <v>417152.60355600005</v>
      </c>
      <c r="R5" s="352">
        <v>1355976.57</v>
      </c>
      <c r="S5" s="388">
        <f>SUM(P5:R5)</f>
        <v>3900463.3608960006</v>
      </c>
      <c r="T5" s="355">
        <f>S5+O5+K5+G5</f>
        <v>14456829.574496003</v>
      </c>
      <c r="U5" s="338">
        <f>'свод '!F16</f>
        <v>14456829.57</v>
      </c>
      <c r="V5" s="335">
        <f aca="true" t="shared" si="0" ref="V5:V28">U5-T5</f>
        <v>-0.004496002569794655</v>
      </c>
    </row>
    <row r="6" spans="1:22" ht="33.75">
      <c r="A6" s="489"/>
      <c r="B6" s="328" t="s">
        <v>66</v>
      </c>
      <c r="C6" s="339">
        <v>211</v>
      </c>
      <c r="D6" s="355">
        <f>D4-D5</f>
        <v>464760</v>
      </c>
      <c r="E6" s="355">
        <f>E4-E5</f>
        <v>1161900.72</v>
      </c>
      <c r="F6" s="355">
        <f>F4-F5</f>
        <v>1161900.72</v>
      </c>
      <c r="G6" s="353">
        <f>SUM(D6:F6)</f>
        <v>2788561.44</v>
      </c>
      <c r="H6" s="355">
        <f>H4-H5</f>
        <v>1963094.0888159997</v>
      </c>
      <c r="I6" s="355">
        <f>I4-I5</f>
        <v>937908.6805839998</v>
      </c>
      <c r="J6" s="355">
        <f>J4-J5</f>
        <v>1746600.1281999997</v>
      </c>
      <c r="K6" s="354">
        <f>SUM(H6:J6)</f>
        <v>4647602.897599999</v>
      </c>
      <c r="L6" s="355">
        <f>L4-L5</f>
        <v>572561.900836</v>
      </c>
      <c r="M6" s="355">
        <f>M4-M5</f>
        <v>643239.7323879999</v>
      </c>
      <c r="N6" s="355">
        <f>N4-N5</f>
        <v>1107999.8155760001</v>
      </c>
      <c r="O6" s="352">
        <f>SUM(L6:N6)</f>
        <v>2323801.4488</v>
      </c>
      <c r="P6" s="355">
        <f>P4-P5</f>
        <v>1966842.4626599997</v>
      </c>
      <c r="Q6" s="355">
        <f>Q4-Q5</f>
        <v>385681.50644399994</v>
      </c>
      <c r="R6" s="355">
        <f>R4-R5</f>
        <v>2454012.67</v>
      </c>
      <c r="S6" s="388">
        <f>SUM(P6:R6)</f>
        <v>4806536.639103999</v>
      </c>
      <c r="T6" s="355">
        <f aca="true" t="shared" si="1" ref="T6:T12">S6+O6+K6+G6</f>
        <v>14566502.425503997</v>
      </c>
      <c r="U6" s="335">
        <f>'свод '!F29</f>
        <v>14566502.43</v>
      </c>
      <c r="V6" s="335">
        <f t="shared" si="0"/>
        <v>0.004496002569794655</v>
      </c>
    </row>
    <row r="7" spans="1:22" ht="45">
      <c r="A7" s="489"/>
      <c r="B7" s="328" t="s">
        <v>166</v>
      </c>
      <c r="C7" s="339">
        <v>213</v>
      </c>
      <c r="D7" s="355"/>
      <c r="E7" s="355">
        <f>ROUND(E5*0.302,0)</f>
        <v>379527</v>
      </c>
      <c r="F7" s="355">
        <f>ROUND(F5*0.302,0)</f>
        <v>379527</v>
      </c>
      <c r="G7" s="353">
        <f>SUM(D7:F7)</f>
        <v>759054</v>
      </c>
      <c r="H7" s="355">
        <f>ROUND(H5*0.302,0)</f>
        <v>641231</v>
      </c>
      <c r="I7" s="355">
        <f>ROUND(I5*0.302,0)</f>
        <v>306361</v>
      </c>
      <c r="J7" s="355">
        <f>ROUND(J5*0.302,0)</f>
        <v>570514</v>
      </c>
      <c r="K7" s="354">
        <f>SUM(H7:J7)</f>
        <v>1518106</v>
      </c>
      <c r="L7" s="355">
        <f>ROUND(L5*0.302,0)</f>
        <v>187023</v>
      </c>
      <c r="M7" s="355">
        <f>ROUND(M5*0.302,0)</f>
        <v>210110</v>
      </c>
      <c r="N7" s="355">
        <f>ROUND(N5*0.302,0)</f>
        <v>361920</v>
      </c>
      <c r="O7" s="352">
        <f>SUM(L7:N7)</f>
        <v>759053</v>
      </c>
      <c r="P7" s="355">
        <f>ROUND(P5*0.302,0)</f>
        <v>642455</v>
      </c>
      <c r="Q7" s="355">
        <f>ROUND(Q5*0.302,0)</f>
        <v>125980</v>
      </c>
      <c r="R7" s="355">
        <v>561314.53</v>
      </c>
      <c r="S7" s="388">
        <f>SUM(P7:R7)</f>
        <v>1329749.53</v>
      </c>
      <c r="T7" s="355">
        <f t="shared" si="1"/>
        <v>4365962.53</v>
      </c>
      <c r="U7" s="335">
        <f>'свод '!F17</f>
        <v>4365962.53</v>
      </c>
      <c r="V7" s="335">
        <f t="shared" si="0"/>
        <v>0</v>
      </c>
    </row>
    <row r="8" spans="1:22" s="269" customFormat="1" ht="45">
      <c r="A8" s="489"/>
      <c r="B8" s="328" t="s">
        <v>377</v>
      </c>
      <c r="C8" s="336">
        <v>213</v>
      </c>
      <c r="D8" s="355">
        <f>D9-D7</f>
        <v>0</v>
      </c>
      <c r="E8" s="355">
        <f>E9-E7</f>
        <v>350893</v>
      </c>
      <c r="F8" s="355">
        <f>F9-F7</f>
        <v>350893</v>
      </c>
      <c r="G8" s="353">
        <f>SUM(D8:F8)</f>
        <v>701786</v>
      </c>
      <c r="H8" s="355">
        <f>H9-H7</f>
        <v>592853.9600799999</v>
      </c>
      <c r="I8" s="355">
        <f>I9-I7</f>
        <v>283248.53692</v>
      </c>
      <c r="J8" s="355">
        <f>J9-J7</f>
        <v>527471.5009999999</v>
      </c>
      <c r="K8" s="354">
        <f>SUM(H8:J8)</f>
        <v>1403573.9979999997</v>
      </c>
      <c r="L8" s="355">
        <f>L9-L7</f>
        <v>172913.90518</v>
      </c>
      <c r="M8" s="355">
        <f>M9-M7</f>
        <v>194258.02493999997</v>
      </c>
      <c r="N8" s="355">
        <f>N9-N7</f>
        <v>334615.0698800001</v>
      </c>
      <c r="O8" s="352">
        <f>SUM(L8:N8)</f>
        <v>701787</v>
      </c>
      <c r="P8" s="355">
        <f>P9-P7+0.01</f>
        <v>593986.3483</v>
      </c>
      <c r="Q8" s="355">
        <f>Q9-Q7</f>
        <v>116475.89121999999</v>
      </c>
      <c r="R8" s="355">
        <v>881473.23</v>
      </c>
      <c r="S8" s="388">
        <f>SUM(P8:R8)</f>
        <v>1591935.4695199998</v>
      </c>
      <c r="T8" s="355">
        <f t="shared" si="1"/>
        <v>4399082.4675199995</v>
      </c>
      <c r="U8" s="341">
        <f>'свод '!F31</f>
        <v>4399082.470000001</v>
      </c>
      <c r="V8" s="335">
        <f t="shared" si="0"/>
        <v>0.00248000118881464</v>
      </c>
    </row>
    <row r="9" spans="1:22" s="241" customFormat="1" ht="15">
      <c r="A9" s="489"/>
      <c r="B9" s="328"/>
      <c r="C9" s="337">
        <v>213</v>
      </c>
      <c r="D9" s="351"/>
      <c r="E9" s="351">
        <v>730420</v>
      </c>
      <c r="F9" s="351">
        <v>730420</v>
      </c>
      <c r="G9" s="351">
        <v>1460840</v>
      </c>
      <c r="H9" s="351">
        <f>H4*30.2%</f>
        <v>1234084.9600799999</v>
      </c>
      <c r="I9" s="351">
        <f>I4*30.2%</f>
        <v>589609.53692</v>
      </c>
      <c r="J9" s="351">
        <f>J4*30.2%-2.09</f>
        <v>1097985.501</v>
      </c>
      <c r="K9" s="351">
        <v>2921680</v>
      </c>
      <c r="L9" s="351">
        <f>L4*30.2%-0.01</f>
        <v>359936.90518</v>
      </c>
      <c r="M9" s="351">
        <f>M4*30.2%</f>
        <v>404368.02494</v>
      </c>
      <c r="N9" s="351">
        <f>O9-L9-M9</f>
        <v>696535.0698800001</v>
      </c>
      <c r="O9" s="351">
        <v>1460840</v>
      </c>
      <c r="P9" s="351">
        <f>P4*30.2%-0.01</f>
        <v>1236441.3383</v>
      </c>
      <c r="Q9" s="351">
        <f>Q4*30.2%-0.01</f>
        <v>242455.89122</v>
      </c>
      <c r="R9" s="351">
        <f>R4*30.2%-0.01</f>
        <v>1150616.74048</v>
      </c>
      <c r="S9" s="351">
        <v>2921685</v>
      </c>
      <c r="T9" s="351">
        <f>T7+T8</f>
        <v>8765044.99752</v>
      </c>
      <c r="U9" s="338">
        <f>проверка!C8</f>
        <v>8765045</v>
      </c>
      <c r="V9" s="335">
        <f t="shared" si="0"/>
        <v>0.0024800002574920654</v>
      </c>
    </row>
    <row r="10" spans="1:22" s="241" customFormat="1" ht="15">
      <c r="A10" s="489"/>
      <c r="B10" s="266" t="s">
        <v>164</v>
      </c>
      <c r="C10" s="332">
        <v>226</v>
      </c>
      <c r="D10" s="355"/>
      <c r="E10" s="355"/>
      <c r="F10" s="355">
        <f>G10-D10-E10</f>
        <v>10159</v>
      </c>
      <c r="G10" s="353">
        <v>10159</v>
      </c>
      <c r="H10" s="355">
        <v>10159</v>
      </c>
      <c r="I10" s="355"/>
      <c r="J10" s="355"/>
      <c r="K10" s="353">
        <f>H10+I10+J10</f>
        <v>10159</v>
      </c>
      <c r="L10" s="355"/>
      <c r="M10" s="355"/>
      <c r="N10" s="355">
        <f>O10-L10-M10</f>
        <v>10160</v>
      </c>
      <c r="O10" s="353">
        <v>10160</v>
      </c>
      <c r="P10" s="355"/>
      <c r="Q10" s="355"/>
      <c r="R10" s="355">
        <f>S10-P10-Q10</f>
        <v>0</v>
      </c>
      <c r="S10" s="353">
        <v>0</v>
      </c>
      <c r="T10" s="355">
        <f>S10+O10+K10+G10</f>
        <v>30478</v>
      </c>
      <c r="U10" s="338">
        <f>проверка!C9</f>
        <v>30478</v>
      </c>
      <c r="V10" s="335">
        <f t="shared" si="0"/>
        <v>0</v>
      </c>
    </row>
    <row r="11" spans="1:22" s="241" customFormat="1" ht="15">
      <c r="A11" s="489"/>
      <c r="B11" s="331" t="s">
        <v>411</v>
      </c>
      <c r="C11" s="332">
        <v>340</v>
      </c>
      <c r="D11" s="355"/>
      <c r="E11" s="355"/>
      <c r="F11" s="355">
        <f>G11-D11-E11</f>
        <v>0</v>
      </c>
      <c r="G11" s="353"/>
      <c r="H11" s="355">
        <v>181642</v>
      </c>
      <c r="I11" s="355"/>
      <c r="J11" s="355"/>
      <c r="K11" s="353">
        <f>H11+I11+J11</f>
        <v>181642</v>
      </c>
      <c r="L11" s="355"/>
      <c r="M11" s="355"/>
      <c r="N11" s="355">
        <f>O11-L11-M11</f>
        <v>0</v>
      </c>
      <c r="O11" s="353">
        <v>0</v>
      </c>
      <c r="P11" s="355"/>
      <c r="Q11" s="355"/>
      <c r="R11" s="355">
        <f>S11-P11-Q11</f>
        <v>77846</v>
      </c>
      <c r="S11" s="353">
        <v>77846</v>
      </c>
      <c r="T11" s="355">
        <f>S11+O11+K11+G11</f>
        <v>259488</v>
      </c>
      <c r="U11" s="338">
        <f>проверка!C10</f>
        <v>259488</v>
      </c>
      <c r="V11" s="335">
        <f t="shared" si="0"/>
        <v>0</v>
      </c>
    </row>
    <row r="12" spans="1:22" s="241" customFormat="1" ht="15">
      <c r="A12" s="489"/>
      <c r="B12" s="328"/>
      <c r="C12" s="337"/>
      <c r="D12" s="351">
        <f>D9+D4</f>
        <v>967444</v>
      </c>
      <c r="E12" s="351">
        <f>E9+E4</f>
        <v>3149031</v>
      </c>
      <c r="F12" s="351">
        <f>F9+F4</f>
        <v>3149031</v>
      </c>
      <c r="G12" s="351">
        <f>D12+E12+F12</f>
        <v>7265506</v>
      </c>
      <c r="H12" s="351">
        <f>H9+H4</f>
        <v>5320459.00008</v>
      </c>
      <c r="I12" s="351">
        <f>I9+I4</f>
        <v>2541958.99692</v>
      </c>
      <c r="J12" s="351">
        <f>J9+J4</f>
        <v>4733706.001</v>
      </c>
      <c r="K12" s="351">
        <f>H12+I12+J12</f>
        <v>12596123.998</v>
      </c>
      <c r="L12" s="351">
        <f>L9+L4</f>
        <v>1551780.99518</v>
      </c>
      <c r="M12" s="351">
        <f>M9+M4</f>
        <v>1743334.99494</v>
      </c>
      <c r="N12" s="351">
        <f>N9+N4</f>
        <v>3002946.0098800007</v>
      </c>
      <c r="O12" s="351">
        <f>L12+M12+N12</f>
        <v>6298062.000000001</v>
      </c>
      <c r="P12" s="351">
        <f>P9+P4</f>
        <v>5330617.988299999</v>
      </c>
      <c r="Q12" s="351">
        <f>Q9+Q4</f>
        <v>1045290.00122</v>
      </c>
      <c r="R12" s="351">
        <f>R9+R4</f>
        <v>4960605.98048</v>
      </c>
      <c r="S12" s="351">
        <f>P12+Q12+R12</f>
        <v>11336513.969999999</v>
      </c>
      <c r="T12" s="351">
        <f t="shared" si="1"/>
        <v>37496205.967999995</v>
      </c>
      <c r="U12" s="338"/>
      <c r="V12" s="335"/>
    </row>
    <row r="13" spans="1:22" ht="22.5">
      <c r="A13" s="489" t="s">
        <v>410</v>
      </c>
      <c r="B13" s="328" t="s">
        <v>64</v>
      </c>
      <c r="C13" s="332">
        <v>212</v>
      </c>
      <c r="D13" s="355"/>
      <c r="E13" s="355"/>
      <c r="F13" s="355">
        <f aca="true" t="shared" si="2" ref="F13:F20">G13-D13-E13</f>
        <v>200</v>
      </c>
      <c r="G13" s="353">
        <v>200</v>
      </c>
      <c r="H13" s="355"/>
      <c r="I13" s="355"/>
      <c r="J13" s="355">
        <f aca="true" t="shared" si="3" ref="J13:J20">K13-H13-I13</f>
        <v>300</v>
      </c>
      <c r="K13" s="353">
        <v>300</v>
      </c>
      <c r="L13" s="355"/>
      <c r="M13" s="355"/>
      <c r="N13" s="355">
        <f aca="true" t="shared" si="4" ref="N13:N20">O13-L13-M13</f>
        <v>300</v>
      </c>
      <c r="O13" s="353">
        <v>300</v>
      </c>
      <c r="P13" s="355"/>
      <c r="Q13" s="355"/>
      <c r="R13" s="355">
        <f aca="true" t="shared" si="5" ref="R13:R20">S13-P13-Q13</f>
        <v>400</v>
      </c>
      <c r="S13" s="353">
        <v>400</v>
      </c>
      <c r="T13" s="355">
        <f aca="true" t="shared" si="6" ref="T13:T21">S13+O13+K13+G13</f>
        <v>1200</v>
      </c>
      <c r="U13" s="335">
        <f>'свод '!F32</f>
        <v>1200</v>
      </c>
      <c r="V13" s="335">
        <f t="shared" si="0"/>
        <v>0</v>
      </c>
    </row>
    <row r="14" spans="1:22" ht="15">
      <c r="A14" s="489"/>
      <c r="B14" s="266" t="s">
        <v>82</v>
      </c>
      <c r="C14" s="332">
        <v>221</v>
      </c>
      <c r="D14" s="355">
        <v>6000</v>
      </c>
      <c r="E14" s="355">
        <v>5000</v>
      </c>
      <c r="F14" s="355">
        <f t="shared" si="2"/>
        <v>5695</v>
      </c>
      <c r="G14" s="353">
        <v>16695</v>
      </c>
      <c r="H14" s="355">
        <f>E14</f>
        <v>5000</v>
      </c>
      <c r="I14" s="355">
        <f>F14</f>
        <v>5695</v>
      </c>
      <c r="J14" s="355">
        <f t="shared" si="3"/>
        <v>6000</v>
      </c>
      <c r="K14" s="353">
        <v>16695</v>
      </c>
      <c r="L14" s="355">
        <f aca="true" t="shared" si="7" ref="L14:M17">I14</f>
        <v>5695</v>
      </c>
      <c r="M14" s="355">
        <f t="shared" si="7"/>
        <v>6000</v>
      </c>
      <c r="N14" s="355">
        <f t="shared" si="4"/>
        <v>5000</v>
      </c>
      <c r="O14" s="353">
        <v>16695</v>
      </c>
      <c r="P14" s="355">
        <f>M14</f>
        <v>6000</v>
      </c>
      <c r="Q14" s="355">
        <f>N14</f>
        <v>5000</v>
      </c>
      <c r="R14" s="355">
        <f t="shared" si="5"/>
        <v>5696</v>
      </c>
      <c r="S14" s="353">
        <v>16696</v>
      </c>
      <c r="T14" s="355">
        <f t="shared" si="6"/>
        <v>66781</v>
      </c>
      <c r="U14" s="335">
        <f>'свод '!F74</f>
        <v>66781</v>
      </c>
      <c r="V14" s="335">
        <f t="shared" si="0"/>
        <v>0</v>
      </c>
    </row>
    <row r="15" spans="1:22" ht="15">
      <c r="A15" s="489"/>
      <c r="B15" s="266" t="s">
        <v>161</v>
      </c>
      <c r="C15" s="332">
        <v>223</v>
      </c>
      <c r="D15" s="355">
        <v>300000</v>
      </c>
      <c r="E15" s="355">
        <v>350000</v>
      </c>
      <c r="F15" s="355">
        <f t="shared" si="2"/>
        <v>500816</v>
      </c>
      <c r="G15" s="353">
        <v>1150816</v>
      </c>
      <c r="H15" s="355">
        <f>E15/2</f>
        <v>175000</v>
      </c>
      <c r="I15" s="355">
        <f>F15/2</f>
        <v>250408</v>
      </c>
      <c r="J15" s="355">
        <f t="shared" si="3"/>
        <v>-22721</v>
      </c>
      <c r="K15" s="353">
        <v>402687</v>
      </c>
      <c r="L15" s="355">
        <f t="shared" si="7"/>
        <v>250408</v>
      </c>
      <c r="M15" s="355">
        <f t="shared" si="7"/>
        <v>-22721</v>
      </c>
      <c r="N15" s="355">
        <f t="shared" si="4"/>
        <v>51483</v>
      </c>
      <c r="O15" s="353">
        <v>279170</v>
      </c>
      <c r="P15" s="355">
        <f>D15</f>
        <v>300000</v>
      </c>
      <c r="Q15" s="355">
        <f>D15</f>
        <v>300000</v>
      </c>
      <c r="R15" s="355">
        <f t="shared" si="5"/>
        <v>799367</v>
      </c>
      <c r="S15" s="353">
        <v>1399367</v>
      </c>
      <c r="T15" s="355">
        <f t="shared" si="6"/>
        <v>3232040</v>
      </c>
      <c r="U15" s="335">
        <f>'свод '!F107</f>
        <v>3232040</v>
      </c>
      <c r="V15" s="335">
        <f t="shared" si="0"/>
        <v>0</v>
      </c>
    </row>
    <row r="16" spans="1:22" ht="15">
      <c r="A16" s="489"/>
      <c r="B16" s="330" t="s">
        <v>165</v>
      </c>
      <c r="C16" s="332">
        <v>225</v>
      </c>
      <c r="D16" s="355">
        <v>35000</v>
      </c>
      <c r="E16" s="355">
        <v>10000</v>
      </c>
      <c r="F16" s="355">
        <f t="shared" si="2"/>
        <v>37724</v>
      </c>
      <c r="G16" s="353">
        <v>82724</v>
      </c>
      <c r="H16" s="355">
        <f>E16</f>
        <v>10000</v>
      </c>
      <c r="I16" s="355">
        <f>F16</f>
        <v>37724</v>
      </c>
      <c r="J16" s="355">
        <f t="shared" si="3"/>
        <v>44811</v>
      </c>
      <c r="K16" s="353">
        <v>92535</v>
      </c>
      <c r="L16" s="355">
        <f t="shared" si="7"/>
        <v>37724</v>
      </c>
      <c r="M16" s="355">
        <f t="shared" si="7"/>
        <v>44811</v>
      </c>
      <c r="N16" s="355">
        <f t="shared" si="4"/>
        <v>13573</v>
      </c>
      <c r="O16" s="353">
        <v>96108</v>
      </c>
      <c r="P16" s="355">
        <f>M16</f>
        <v>44811</v>
      </c>
      <c r="Q16" s="355">
        <f>N16</f>
        <v>13573</v>
      </c>
      <c r="R16" s="355">
        <f t="shared" si="5"/>
        <v>36134</v>
      </c>
      <c r="S16" s="353">
        <v>94518</v>
      </c>
      <c r="T16" s="355">
        <f t="shared" si="6"/>
        <v>365885</v>
      </c>
      <c r="U16" s="335">
        <f>проверка!C15</f>
        <v>365885</v>
      </c>
      <c r="V16" s="335">
        <f t="shared" si="0"/>
        <v>0</v>
      </c>
    </row>
    <row r="17" spans="1:22" ht="15">
      <c r="A17" s="489"/>
      <c r="B17" s="266" t="s">
        <v>164</v>
      </c>
      <c r="C17" s="332">
        <v>226</v>
      </c>
      <c r="D17" s="355">
        <v>4100</v>
      </c>
      <c r="E17" s="355">
        <v>4100</v>
      </c>
      <c r="F17" s="355">
        <f t="shared" si="2"/>
        <v>13756</v>
      </c>
      <c r="G17" s="353">
        <v>21956</v>
      </c>
      <c r="H17" s="355">
        <f>E17</f>
        <v>4100</v>
      </c>
      <c r="I17" s="355">
        <f>F17</f>
        <v>13756</v>
      </c>
      <c r="J17" s="355">
        <f t="shared" si="3"/>
        <v>1000</v>
      </c>
      <c r="K17" s="353">
        <v>18856</v>
      </c>
      <c r="L17" s="355">
        <f t="shared" si="7"/>
        <v>13756</v>
      </c>
      <c r="M17" s="355">
        <f t="shared" si="7"/>
        <v>1000</v>
      </c>
      <c r="N17" s="355">
        <f t="shared" si="4"/>
        <v>273110</v>
      </c>
      <c r="O17" s="353">
        <v>287866</v>
      </c>
      <c r="P17" s="355">
        <f>M17</f>
        <v>1000</v>
      </c>
      <c r="Q17" s="355">
        <f>L17</f>
        <v>13756</v>
      </c>
      <c r="R17" s="355">
        <f t="shared" si="5"/>
        <v>4101</v>
      </c>
      <c r="S17" s="353">
        <v>18857</v>
      </c>
      <c r="T17" s="355">
        <f t="shared" si="6"/>
        <v>347535</v>
      </c>
      <c r="U17" s="335">
        <f>проверка!C16</f>
        <v>347535</v>
      </c>
      <c r="V17" s="335">
        <f t="shared" si="0"/>
        <v>0</v>
      </c>
    </row>
    <row r="18" spans="1:22" ht="15.75" customHeight="1">
      <c r="A18" s="489"/>
      <c r="B18" s="378" t="s">
        <v>160</v>
      </c>
      <c r="C18" s="332">
        <v>290</v>
      </c>
      <c r="D18" s="355">
        <v>122000</v>
      </c>
      <c r="E18" s="355">
        <v>220328</v>
      </c>
      <c r="F18" s="355">
        <f t="shared" si="2"/>
        <v>0</v>
      </c>
      <c r="G18" s="353">
        <v>342328</v>
      </c>
      <c r="H18" s="355">
        <f>K18</f>
        <v>342328</v>
      </c>
      <c r="I18" s="355"/>
      <c r="J18" s="355">
        <f t="shared" si="3"/>
        <v>0</v>
      </c>
      <c r="K18" s="353">
        <v>342328</v>
      </c>
      <c r="L18" s="355">
        <f>O18</f>
        <v>344928</v>
      </c>
      <c r="M18" s="355"/>
      <c r="N18" s="355">
        <f t="shared" si="4"/>
        <v>0</v>
      </c>
      <c r="O18" s="353">
        <v>344928</v>
      </c>
      <c r="P18" s="355">
        <f>S18</f>
        <v>342329</v>
      </c>
      <c r="Q18" s="355"/>
      <c r="R18" s="355">
        <f t="shared" si="5"/>
        <v>0</v>
      </c>
      <c r="S18" s="353">
        <v>342329</v>
      </c>
      <c r="T18" s="355">
        <f t="shared" si="6"/>
        <v>1371913</v>
      </c>
      <c r="U18" s="342">
        <f>'свод '!F118</f>
        <v>1371913</v>
      </c>
      <c r="V18" s="335">
        <f>U18-T18</f>
        <v>0</v>
      </c>
    </row>
    <row r="19" spans="1:22" ht="15.75" customHeight="1">
      <c r="A19" s="489"/>
      <c r="B19" s="378" t="s">
        <v>412</v>
      </c>
      <c r="C19" s="332">
        <v>290</v>
      </c>
      <c r="D19" s="355"/>
      <c r="E19" s="355"/>
      <c r="F19" s="355">
        <f t="shared" si="2"/>
        <v>0</v>
      </c>
      <c r="G19" s="353"/>
      <c r="H19" s="355"/>
      <c r="I19" s="355"/>
      <c r="J19" s="355">
        <f t="shared" si="3"/>
        <v>0</v>
      </c>
      <c r="K19" s="353"/>
      <c r="L19" s="355"/>
      <c r="M19" s="355"/>
      <c r="N19" s="355">
        <f t="shared" si="4"/>
        <v>0</v>
      </c>
      <c r="O19" s="353"/>
      <c r="P19" s="355"/>
      <c r="Q19" s="355"/>
      <c r="R19" s="355">
        <f t="shared" si="5"/>
        <v>0</v>
      </c>
      <c r="S19" s="353"/>
      <c r="T19" s="355">
        <f t="shared" si="6"/>
        <v>0</v>
      </c>
      <c r="U19" s="342"/>
      <c r="V19" s="335"/>
    </row>
    <row r="20" spans="1:22" ht="15">
      <c r="A20" s="489"/>
      <c r="B20" s="331" t="s">
        <v>411</v>
      </c>
      <c r="C20" s="332">
        <v>340</v>
      </c>
      <c r="D20" s="355"/>
      <c r="E20" s="355"/>
      <c r="F20" s="355">
        <f t="shared" si="2"/>
        <v>0</v>
      </c>
      <c r="G20" s="353"/>
      <c r="H20" s="355"/>
      <c r="I20" s="355"/>
      <c r="J20" s="355">
        <f t="shared" si="3"/>
        <v>0</v>
      </c>
      <c r="K20" s="353"/>
      <c r="L20" s="355"/>
      <c r="M20" s="355"/>
      <c r="N20" s="355">
        <f t="shared" si="4"/>
        <v>0</v>
      </c>
      <c r="O20" s="353"/>
      <c r="P20" s="355"/>
      <c r="Q20" s="355"/>
      <c r="R20" s="355">
        <f t="shared" si="5"/>
        <v>0</v>
      </c>
      <c r="S20" s="353"/>
      <c r="T20" s="355">
        <f t="shared" si="6"/>
        <v>0</v>
      </c>
      <c r="U20" s="335">
        <f>проверка!C18</f>
        <v>0</v>
      </c>
      <c r="V20" s="335">
        <f t="shared" si="0"/>
        <v>0</v>
      </c>
    </row>
    <row r="21" spans="1:22" ht="15">
      <c r="A21" s="372"/>
      <c r="B21" s="328"/>
      <c r="C21" s="337"/>
      <c r="D21" s="351">
        <f>D13+D14+D15+D16+D17+D18+D19+D20</f>
        <v>467100</v>
      </c>
      <c r="E21" s="351">
        <f>E13+E14+E15+E16+E17+E18+E19+E20</f>
        <v>589428</v>
      </c>
      <c r="F21" s="351">
        <f>F13+F14+F15+F16+F17+F18+F19+F20</f>
        <v>558191</v>
      </c>
      <c r="G21" s="351">
        <f>D21+E21+F21</f>
        <v>1614719</v>
      </c>
      <c r="H21" s="351">
        <f>H13+H14+H15+H16+H17+H18+H19+H20</f>
        <v>536428</v>
      </c>
      <c r="I21" s="351">
        <f>I13+I14+I15+I16+I17+I18+I19+I20</f>
        <v>307583</v>
      </c>
      <c r="J21" s="351">
        <f>J13+J14+J15+J16+J17+J18+J19+J20</f>
        <v>29390</v>
      </c>
      <c r="K21" s="351">
        <f>H21+I21+J21</f>
        <v>873401</v>
      </c>
      <c r="L21" s="351">
        <f>L13+L14+L15+L16+L17+L18+L19+L20</f>
        <v>652511</v>
      </c>
      <c r="M21" s="351">
        <f>M13+M14+M15+M16+M17+M18+M19+M20</f>
        <v>29090</v>
      </c>
      <c r="N21" s="351">
        <f>N13+N14+N15+N16+N17+N18+N19+N20</f>
        <v>343466</v>
      </c>
      <c r="O21" s="351">
        <f>L21+M21+N21</f>
        <v>1025067</v>
      </c>
      <c r="P21" s="351">
        <f>P13+P14+P15+P16+P17+P18+P19+P20</f>
        <v>694140</v>
      </c>
      <c r="Q21" s="351">
        <f>Q13+Q14+Q15+Q16+Q17+Q18+Q19+Q20</f>
        <v>332329</v>
      </c>
      <c r="R21" s="351">
        <f>R13+R14+R15+R16+R17+R18+R19+R20</f>
        <v>845698</v>
      </c>
      <c r="S21" s="351">
        <f>P21+Q21+R21</f>
        <v>1872167</v>
      </c>
      <c r="T21" s="351">
        <f t="shared" si="6"/>
        <v>5385354</v>
      </c>
      <c r="U21" s="335"/>
      <c r="V21" s="335"/>
    </row>
    <row r="22" spans="1:22" s="345" customFormat="1" ht="14.25">
      <c r="A22" s="373"/>
      <c r="B22" s="374" t="s">
        <v>409</v>
      </c>
      <c r="C22" s="343"/>
      <c r="D22" s="375">
        <f aca="true" t="shared" si="8" ref="D22:S22">D23+D24</f>
        <v>967444</v>
      </c>
      <c r="E22" s="375">
        <f t="shared" si="8"/>
        <v>3149031</v>
      </c>
      <c r="F22" s="375">
        <f t="shared" si="8"/>
        <v>3159190</v>
      </c>
      <c r="G22" s="375">
        <f t="shared" si="8"/>
        <v>7275665</v>
      </c>
      <c r="H22" s="375">
        <f t="shared" si="8"/>
        <v>5512260.000080001</v>
      </c>
      <c r="I22" s="375">
        <f t="shared" si="8"/>
        <v>2541958.99692</v>
      </c>
      <c r="J22" s="375">
        <f t="shared" si="8"/>
        <v>4733706.001</v>
      </c>
      <c r="K22" s="375">
        <f t="shared" si="8"/>
        <v>12787924.998</v>
      </c>
      <c r="L22" s="375">
        <f t="shared" si="8"/>
        <v>1551780.99518</v>
      </c>
      <c r="M22" s="375">
        <f t="shared" si="8"/>
        <v>1743334.9949400001</v>
      </c>
      <c r="N22" s="375">
        <f t="shared" si="8"/>
        <v>3013106.0098800007</v>
      </c>
      <c r="O22" s="375">
        <f t="shared" si="8"/>
        <v>6308222.000000001</v>
      </c>
      <c r="P22" s="375">
        <f t="shared" si="8"/>
        <v>5330617.998299999</v>
      </c>
      <c r="Q22" s="375">
        <f t="shared" si="8"/>
        <v>1045290.00122</v>
      </c>
      <c r="R22" s="375">
        <f t="shared" si="8"/>
        <v>5330623</v>
      </c>
      <c r="S22" s="375">
        <f t="shared" si="8"/>
        <v>11706530.99952</v>
      </c>
      <c r="T22" s="375">
        <f>G22+K22+O22+S22</f>
        <v>38078342.99752</v>
      </c>
      <c r="U22" s="344"/>
      <c r="V22" s="344"/>
    </row>
    <row r="23" spans="2:22" ht="15">
      <c r="B23" s="332" t="s">
        <v>162</v>
      </c>
      <c r="C23" s="332"/>
      <c r="D23" s="358">
        <f>D5+D7+D10+D11</f>
        <v>502684</v>
      </c>
      <c r="E23" s="358">
        <f>E5+E7+E10+E11</f>
        <v>1636237.28</v>
      </c>
      <c r="F23" s="358">
        <f>F5+F7+F10+F11</f>
        <v>1646396.28</v>
      </c>
      <c r="G23" s="358">
        <f>SUM(D23:F23)</f>
        <v>3785317.5600000005</v>
      </c>
      <c r="H23" s="358">
        <f>H5+H7+H10+H11</f>
        <v>2956311.9511840004</v>
      </c>
      <c r="I23" s="358">
        <f>I5+I7+I10+I11</f>
        <v>1320801.779416</v>
      </c>
      <c r="J23" s="358">
        <f>J5+J7+J10+J11</f>
        <v>2459634.3718000003</v>
      </c>
      <c r="K23" s="358">
        <f>SUM(H23:J23)</f>
        <v>6736748.102400001</v>
      </c>
      <c r="L23" s="358">
        <f>L5+L7+L10+L11</f>
        <v>806305.1891640001</v>
      </c>
      <c r="M23" s="358">
        <f>M5+M7+M10+M11</f>
        <v>905837.2376120001</v>
      </c>
      <c r="N23" s="358">
        <f>N5+N7+N10+N11</f>
        <v>1570491.1244240003</v>
      </c>
      <c r="O23" s="358">
        <f>SUM(L23:N23)</f>
        <v>3282633.5512000006</v>
      </c>
      <c r="P23" s="358">
        <f>P5+P7+P10+P11</f>
        <v>2769789.18734</v>
      </c>
      <c r="Q23" s="358">
        <f>Q5+Q7+Q10+Q11</f>
        <v>543132.603556</v>
      </c>
      <c r="R23" s="358">
        <f>R5+R7+R10+R11</f>
        <v>1995137.1</v>
      </c>
      <c r="S23" s="358">
        <f>SUM(P23:R23)</f>
        <v>5308058.890896</v>
      </c>
      <c r="T23" s="376">
        <f>G23+K23+O23+S23</f>
        <v>19112758.104496002</v>
      </c>
      <c r="U23" s="335">
        <f>'свод '!F20</f>
        <v>19112758.1</v>
      </c>
      <c r="V23" s="335">
        <f t="shared" si="0"/>
        <v>-0.004496000707149506</v>
      </c>
    </row>
    <row r="24" spans="2:22" ht="15.75">
      <c r="B24" s="347" t="s">
        <v>163</v>
      </c>
      <c r="C24" s="332"/>
      <c r="D24" s="358">
        <f>D6+D8</f>
        <v>464760</v>
      </c>
      <c r="E24" s="358">
        <f>E6+E8</f>
        <v>1512793.72</v>
      </c>
      <c r="F24" s="358">
        <f>F6+F8</f>
        <v>1512793.72</v>
      </c>
      <c r="G24" s="358">
        <f>SUM(D24:F24)</f>
        <v>3490347.44</v>
      </c>
      <c r="H24" s="358">
        <f>H6+H8</f>
        <v>2555948.048896</v>
      </c>
      <c r="I24" s="358">
        <f>I6+I8</f>
        <v>1221157.2175039998</v>
      </c>
      <c r="J24" s="358">
        <f>J6+J8</f>
        <v>2274071.6291999994</v>
      </c>
      <c r="K24" s="358">
        <f>SUM(H24:J24)</f>
        <v>6051176.8955999985</v>
      </c>
      <c r="L24" s="358">
        <f>L6+L8</f>
        <v>745475.806016</v>
      </c>
      <c r="M24" s="358">
        <f>M6+M8</f>
        <v>837497.7573279999</v>
      </c>
      <c r="N24" s="358">
        <f>N6+N8</f>
        <v>1442614.8854560002</v>
      </c>
      <c r="O24" s="358">
        <f>SUM(L24:N24)</f>
        <v>3025588.4488000004</v>
      </c>
      <c r="P24" s="358">
        <f>P6+P8</f>
        <v>2560828.8109599994</v>
      </c>
      <c r="Q24" s="358">
        <f>Q6+Q8</f>
        <v>502157.39766399993</v>
      </c>
      <c r="R24" s="358">
        <f>R6+R8</f>
        <v>3335485.9</v>
      </c>
      <c r="S24" s="358">
        <f>SUM(P24:R24)</f>
        <v>6398472.108623999</v>
      </c>
      <c r="T24" s="376">
        <f>G24+K24+O24+S24</f>
        <v>18965584.893023998</v>
      </c>
      <c r="U24" s="335">
        <f>'свод '!F33-'свод '!F32</f>
        <v>18965584.9</v>
      </c>
      <c r="V24" s="335"/>
    </row>
    <row r="25" spans="2:22" s="345" customFormat="1" ht="15">
      <c r="B25" s="343" t="s">
        <v>410</v>
      </c>
      <c r="C25" s="343"/>
      <c r="D25" s="356">
        <f>D27+D26</f>
        <v>467100</v>
      </c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7"/>
      <c r="U25" s="344"/>
      <c r="V25" s="344"/>
    </row>
    <row r="26" spans="2:22" ht="15.75">
      <c r="B26" s="347" t="s">
        <v>163</v>
      </c>
      <c r="C26" s="332"/>
      <c r="D26" s="358">
        <f>D13+D14+D15+D16+D17+D19+D20</f>
        <v>345100</v>
      </c>
      <c r="E26" s="358">
        <f>E13+E14+E15+E16+E17+E19+E20</f>
        <v>369100</v>
      </c>
      <c r="F26" s="358">
        <f>F13+F14+F15+F16+F17+F19+F20</f>
        <v>558191</v>
      </c>
      <c r="G26" s="358">
        <f>SUM(D26:F26)</f>
        <v>1272391</v>
      </c>
      <c r="H26" s="358">
        <f>H13+H14+H15+H16+H17+H19+H20</f>
        <v>194100</v>
      </c>
      <c r="I26" s="358">
        <f>I13+I14+I15+I16+I17+I19+I20</f>
        <v>307583</v>
      </c>
      <c r="J26" s="358">
        <f>J13+J14+J15+J16+J17+J19+J20</f>
        <v>29390</v>
      </c>
      <c r="K26" s="358">
        <f>SUM(H26:J26)</f>
        <v>531073</v>
      </c>
      <c r="L26" s="358">
        <f>L13+L14+L15+L16+L17+L19+L20</f>
        <v>307583</v>
      </c>
      <c r="M26" s="358">
        <f>M13+M14+M15+M16+M17+M19+M20</f>
        <v>29090</v>
      </c>
      <c r="N26" s="358">
        <f>N13+N14+N15+N16+N17+N19+N20</f>
        <v>343466</v>
      </c>
      <c r="O26" s="358">
        <f>SUM(L26:N26)</f>
        <v>680139</v>
      </c>
      <c r="P26" s="358">
        <f>P13+P14+P15+P16+P17+P19+P20</f>
        <v>351811</v>
      </c>
      <c r="Q26" s="358">
        <f>Q13+Q14+Q15+Q16+Q17+Q19+Q20</f>
        <v>332329</v>
      </c>
      <c r="R26" s="358">
        <f>R13+R14+R15+R16+R17+R19+R20</f>
        <v>845698</v>
      </c>
      <c r="S26" s="358">
        <f>SUM(P26:R26)</f>
        <v>1529838</v>
      </c>
      <c r="T26" s="376">
        <f>S26+O26+K26+G26</f>
        <v>4013441</v>
      </c>
      <c r="U26" s="335">
        <f>'свод '!F108-'вспомогательная таблица'!U24+0.2</f>
        <v>4013441.000000001</v>
      </c>
      <c r="V26" s="335">
        <f t="shared" si="0"/>
        <v>0</v>
      </c>
    </row>
    <row r="27" spans="2:22" ht="15">
      <c r="B27" s="332" t="s">
        <v>159</v>
      </c>
      <c r="C27" s="332"/>
      <c r="D27" s="358">
        <f>D18</f>
        <v>122000</v>
      </c>
      <c r="E27" s="358">
        <f>E18</f>
        <v>220328</v>
      </c>
      <c r="F27" s="358">
        <f>F18</f>
        <v>0</v>
      </c>
      <c r="G27" s="358">
        <f>SUM(D27:F27)</f>
        <v>342328</v>
      </c>
      <c r="H27" s="358">
        <f>H18</f>
        <v>342328</v>
      </c>
      <c r="I27" s="358">
        <f>I18</f>
        <v>0</v>
      </c>
      <c r="J27" s="358">
        <f>J18</f>
        <v>0</v>
      </c>
      <c r="K27" s="358">
        <f>SUM(H27:J27)</f>
        <v>342328</v>
      </c>
      <c r="L27" s="358">
        <f>L18</f>
        <v>344928</v>
      </c>
      <c r="M27" s="358">
        <f>M18</f>
        <v>0</v>
      </c>
      <c r="N27" s="358">
        <f>N18</f>
        <v>0</v>
      </c>
      <c r="O27" s="358">
        <f>SUM(L27:N27)</f>
        <v>344928</v>
      </c>
      <c r="P27" s="358">
        <f>P18</f>
        <v>342329</v>
      </c>
      <c r="Q27" s="358">
        <f>Q18</f>
        <v>0</v>
      </c>
      <c r="R27" s="358">
        <f>R18</f>
        <v>0</v>
      </c>
      <c r="S27" s="358">
        <f>SUM(P27:R27)</f>
        <v>342329</v>
      </c>
      <c r="T27" s="376">
        <f>S27+O27+K27+G27</f>
        <v>1371913</v>
      </c>
      <c r="U27" s="335">
        <f>'свод '!F118</f>
        <v>1371913</v>
      </c>
      <c r="V27" s="335">
        <f t="shared" si="0"/>
        <v>0</v>
      </c>
    </row>
    <row r="28" spans="2:22" s="349" customFormat="1" ht="15.75">
      <c r="B28" s="347" t="s">
        <v>158</v>
      </c>
      <c r="C28" s="347"/>
      <c r="D28" s="359">
        <f>D27+D23+D26+D24</f>
        <v>1434544</v>
      </c>
      <c r="E28" s="359">
        <f>E27+E23+E26+E24</f>
        <v>3738459</v>
      </c>
      <c r="F28" s="359">
        <f>F27+F23+F26+F24</f>
        <v>3717381</v>
      </c>
      <c r="G28" s="359">
        <f>D28+E28+F28</f>
        <v>8890384</v>
      </c>
      <c r="H28" s="359">
        <f>H27+H23+H26+H24</f>
        <v>6048688.000080001</v>
      </c>
      <c r="I28" s="359">
        <f>I27+I23+I26+I24</f>
        <v>2849541.99692</v>
      </c>
      <c r="J28" s="359">
        <f>J27+J23+J26+J24</f>
        <v>4763096.001</v>
      </c>
      <c r="K28" s="359">
        <f>H28+I28+J28</f>
        <v>13661325.998000002</v>
      </c>
      <c r="L28" s="359">
        <f>L27+L23+L26+L24</f>
        <v>2204291.99518</v>
      </c>
      <c r="M28" s="359">
        <f>M27+M23+M26+M24</f>
        <v>1772424.9949400001</v>
      </c>
      <c r="N28" s="359">
        <f>N27+N23+N26+N24</f>
        <v>3356572.0098800007</v>
      </c>
      <c r="O28" s="359">
        <f>L28+M28+N28</f>
        <v>7333289.000000001</v>
      </c>
      <c r="P28" s="359">
        <f>P27+P23+P26+P24</f>
        <v>6024757.998299999</v>
      </c>
      <c r="Q28" s="359">
        <f>Q27+Q23+Q26+Q24</f>
        <v>1377619.00122</v>
      </c>
      <c r="R28" s="359">
        <f>R27+R23+R26+R24</f>
        <v>6176321</v>
      </c>
      <c r="S28" s="359">
        <f>P28+Q28+R28</f>
        <v>13578697.99952</v>
      </c>
      <c r="T28" s="377">
        <f>S28+O28+K28+G28</f>
        <v>43463696.99752</v>
      </c>
      <c r="U28" s="348">
        <f>'свод '!F119</f>
        <v>43463697</v>
      </c>
      <c r="V28" s="335">
        <f t="shared" si="0"/>
        <v>0.0024800002574920654</v>
      </c>
    </row>
    <row r="31" spans="7:20" ht="15">
      <c r="G31" s="335">
        <v>8890384</v>
      </c>
      <c r="K31" s="335">
        <v>13661326</v>
      </c>
      <c r="O31" s="335">
        <v>7333289</v>
      </c>
      <c r="S31" s="335">
        <v>13578698</v>
      </c>
      <c r="T31" s="279">
        <v>43463697</v>
      </c>
    </row>
    <row r="32" spans="4:19" ht="15"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</row>
    <row r="33" ht="15">
      <c r="C33" s="350"/>
    </row>
    <row r="34" spans="2:10" ht="15">
      <c r="B34" s="350" t="s">
        <v>140</v>
      </c>
      <c r="E34" s="279" t="s">
        <v>433</v>
      </c>
      <c r="I34" s="486"/>
      <c r="J34" s="486"/>
    </row>
    <row r="36" spans="2:10" ht="15">
      <c r="B36" s="279" t="s">
        <v>125</v>
      </c>
      <c r="E36" s="279" t="s">
        <v>434</v>
      </c>
      <c r="I36" s="486"/>
      <c r="J36" s="486"/>
    </row>
  </sheetData>
  <sheetProtection/>
  <mergeCells count="7">
    <mergeCell ref="B1:T1"/>
    <mergeCell ref="C2:C3"/>
    <mergeCell ref="D2:S2"/>
    <mergeCell ref="I34:J34"/>
    <mergeCell ref="I36:J36"/>
    <mergeCell ref="A4:A12"/>
    <mergeCell ref="A13:A20"/>
  </mergeCells>
  <printOptions/>
  <pageMargins left="0" right="0" top="0" bottom="0" header="0.31496062992125984" footer="0.3149606299212598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4"/>
  <sheetViews>
    <sheetView view="pageBreakPreview" zoomScale="60" zoomScalePageLayoutView="0" workbookViewId="0" topLeftCell="A7">
      <selection activeCell="K31" sqref="K31"/>
    </sheetView>
  </sheetViews>
  <sheetFormatPr defaultColWidth="9.00390625" defaultRowHeight="12.75"/>
  <cols>
    <col min="1" max="1" width="2.00390625" style="0" bestFit="1" customWidth="1"/>
    <col min="2" max="2" width="15.625" style="0" customWidth="1"/>
    <col min="3" max="3" width="15.25390625" style="2" customWidth="1"/>
    <col min="4" max="4" width="14.75390625" style="2" customWidth="1"/>
    <col min="5" max="5" width="12.75390625" style="2" customWidth="1"/>
    <col min="6" max="6" width="11.75390625" style="2" customWidth="1"/>
    <col min="7" max="8" width="14.25390625" style="2" customWidth="1"/>
    <col min="9" max="9" width="12.875" style="2" hidden="1" customWidth="1"/>
    <col min="10" max="10" width="10.75390625" style="2" customWidth="1"/>
    <col min="11" max="11" width="18.25390625" style="2" bestFit="1" customWidth="1"/>
    <col min="12" max="12" width="10.00390625" style="2" customWidth="1"/>
    <col min="13" max="13" width="12.375" style="0" bestFit="1" customWidth="1"/>
    <col min="14" max="15" width="9.25390625" style="0" bestFit="1" customWidth="1"/>
  </cols>
  <sheetData>
    <row r="1" spans="8:9" ht="12.75">
      <c r="H1" s="492" t="s">
        <v>117</v>
      </c>
      <c r="I1" s="492"/>
    </row>
    <row r="2" spans="3:12" s="5" customFormat="1" ht="35.25" customHeight="1">
      <c r="C2" s="490" t="s">
        <v>4</v>
      </c>
      <c r="D2" s="490"/>
      <c r="E2" s="490"/>
      <c r="F2" s="490"/>
      <c r="G2" s="490"/>
      <c r="H2" s="490"/>
      <c r="I2" s="490"/>
      <c r="J2" s="4"/>
      <c r="K2" s="4"/>
      <c r="L2" s="4"/>
    </row>
    <row r="3" spans="3:12" s="8" customFormat="1" ht="20.25" customHeight="1">
      <c r="C3" s="6"/>
      <c r="D3" s="6"/>
      <c r="E3" s="6"/>
      <c r="F3" s="6"/>
      <c r="G3" s="6"/>
      <c r="H3" s="493"/>
      <c r="I3" s="493"/>
      <c r="J3" s="7"/>
      <c r="K3" s="7"/>
      <c r="L3" s="7"/>
    </row>
    <row r="4" spans="3:12" s="8" customFormat="1" ht="35.25" customHeight="1" thickBot="1">
      <c r="C4" s="491" t="s">
        <v>5</v>
      </c>
      <c r="D4" s="491"/>
      <c r="E4" s="491"/>
      <c r="F4" s="491"/>
      <c r="G4" s="491"/>
      <c r="H4" s="491"/>
      <c r="I4" s="491"/>
      <c r="J4" s="7"/>
      <c r="K4" s="7"/>
      <c r="L4" s="7"/>
    </row>
    <row r="5" spans="2:13" s="8" customFormat="1" ht="38.25">
      <c r="B5" s="300" t="s">
        <v>363</v>
      </c>
      <c r="C5" s="43" t="s">
        <v>364</v>
      </c>
      <c r="D5" s="43" t="s">
        <v>365</v>
      </c>
      <c r="E5" s="43" t="s">
        <v>0</v>
      </c>
      <c r="F5" s="43" t="s">
        <v>1</v>
      </c>
      <c r="G5" s="43" t="s">
        <v>2</v>
      </c>
      <c r="H5" s="44" t="s">
        <v>3</v>
      </c>
      <c r="I5" s="7"/>
      <c r="J5" s="7"/>
      <c r="K5" s="8" t="s">
        <v>370</v>
      </c>
      <c r="M5" s="8" t="s">
        <v>380</v>
      </c>
    </row>
    <row r="6" spans="1:10" s="8" customFormat="1" ht="42" customHeight="1">
      <c r="A6" s="8">
        <v>1</v>
      </c>
      <c r="B6" s="9">
        <f>M9</f>
        <v>68</v>
      </c>
      <c r="C6" s="9">
        <f>P9</f>
        <v>12520.57</v>
      </c>
      <c r="D6" s="9">
        <f>Q9</f>
        <v>1.4150076955135482</v>
      </c>
      <c r="E6" s="9">
        <v>12</v>
      </c>
      <c r="F6" s="9">
        <v>1</v>
      </c>
      <c r="G6" s="301">
        <f>ROUND((B6*C6*D6*E6*F6),2)</f>
        <v>14456829.57</v>
      </c>
      <c r="H6" s="302">
        <f>ROUND(G6*30.2%,2)</f>
        <v>4365962.53</v>
      </c>
      <c r="I6" s="7"/>
      <c r="J6" s="7"/>
    </row>
    <row r="7" spans="1:17" s="8" customFormat="1" ht="19.5" customHeight="1">
      <c r="A7" s="8">
        <v>2</v>
      </c>
      <c r="B7" s="9"/>
      <c r="C7" s="9"/>
      <c r="D7" s="9"/>
      <c r="E7" s="9">
        <v>0</v>
      </c>
      <c r="F7" s="9">
        <v>1</v>
      </c>
      <c r="G7" s="301">
        <f>ROUND((B7*C7*D7*E7*F7),2)</f>
        <v>0</v>
      </c>
      <c r="H7" s="302">
        <f>ROUND(G7*30.2%,2)</f>
        <v>0</v>
      </c>
      <c r="I7" s="7"/>
      <c r="J7" s="314"/>
      <c r="K7" s="9"/>
      <c r="L7" s="314" t="s">
        <v>371</v>
      </c>
      <c r="M7" s="314" t="s">
        <v>375</v>
      </c>
      <c r="N7" s="314" t="s">
        <v>372</v>
      </c>
      <c r="O7" s="314" t="s">
        <v>373</v>
      </c>
      <c r="P7" s="314"/>
      <c r="Q7" s="314"/>
    </row>
    <row r="8" spans="1:17" s="8" customFormat="1" ht="18" customHeight="1" thickBot="1">
      <c r="A8" s="8">
        <v>3</v>
      </c>
      <c r="B8" s="303"/>
      <c r="C8" s="304"/>
      <c r="D8" s="303"/>
      <c r="E8" s="48"/>
      <c r="F8" s="48"/>
      <c r="G8" s="305"/>
      <c r="H8" s="306"/>
      <c r="I8" s="7"/>
      <c r="J8" s="314">
        <v>1</v>
      </c>
      <c r="K8" s="9" t="s">
        <v>96</v>
      </c>
      <c r="L8" s="386">
        <v>2418611</v>
      </c>
      <c r="M8" s="362">
        <v>200.7</v>
      </c>
      <c r="N8" s="314">
        <f>L8-O8</f>
        <v>1782430.17</v>
      </c>
      <c r="O8" s="362">
        <v>636180.83</v>
      </c>
      <c r="P8" s="314"/>
      <c r="Q8" s="314"/>
    </row>
    <row r="9" spans="1:17" s="8" customFormat="1" ht="13.5" thickBot="1">
      <c r="A9" s="8">
        <v>4</v>
      </c>
      <c r="B9" s="7"/>
      <c r="C9" s="7"/>
      <c r="D9" s="7"/>
      <c r="E9" s="7"/>
      <c r="F9" s="7"/>
      <c r="G9" s="307">
        <f>SUM(G6:G8)</f>
        <v>14456829.57</v>
      </c>
      <c r="H9" s="308">
        <f>SUM(H6:H8)</f>
        <v>4365962.53</v>
      </c>
      <c r="I9" s="7"/>
      <c r="J9" s="314"/>
      <c r="K9" s="314" t="s">
        <v>374</v>
      </c>
      <c r="L9" s="314">
        <v>1256710.28</v>
      </c>
      <c r="M9" s="362">
        <v>68</v>
      </c>
      <c r="N9" s="362">
        <v>851398.67</v>
      </c>
      <c r="O9" s="362">
        <v>353337</v>
      </c>
      <c r="P9" s="314">
        <f>ROUND(N9/M9,2)</f>
        <v>12520.57</v>
      </c>
      <c r="Q9" s="314">
        <f>O9/N9+1</f>
        <v>1.4150076955135482</v>
      </c>
    </row>
    <row r="10" spans="1:17" s="8" customFormat="1" ht="12.75">
      <c r="A10" s="8">
        <v>5</v>
      </c>
      <c r="C10" s="7"/>
      <c r="D10" s="7"/>
      <c r="E10" s="7"/>
      <c r="F10" s="7"/>
      <c r="G10" s="7"/>
      <c r="H10" s="158"/>
      <c r="I10" s="7"/>
      <c r="J10" s="314"/>
      <c r="K10" s="314" t="s">
        <v>150</v>
      </c>
      <c r="L10" s="314">
        <f>L8-L9</f>
        <v>1161900.72</v>
      </c>
      <c r="M10" s="314">
        <f>M8-M9</f>
        <v>132.7</v>
      </c>
      <c r="N10" s="314">
        <f>N8-N9</f>
        <v>931031.4999999999</v>
      </c>
      <c r="O10" s="314">
        <f>O8-O9</f>
        <v>282843.82999999996</v>
      </c>
      <c r="P10" s="314">
        <f>ROUND(N10/M10,2)</f>
        <v>7016.06</v>
      </c>
      <c r="Q10" s="314">
        <f>O10/N10+1</f>
        <v>1.3037961980878197</v>
      </c>
    </row>
    <row r="11" spans="3:17" s="8" customFormat="1" ht="13.5" thickBot="1">
      <c r="C11" s="7"/>
      <c r="D11" s="7"/>
      <c r="E11" s="7"/>
      <c r="F11" s="7"/>
      <c r="G11" s="7"/>
      <c r="H11" s="7"/>
      <c r="I11" s="7"/>
      <c r="J11" s="9"/>
      <c r="K11" s="314"/>
      <c r="L11" s="314"/>
      <c r="M11" s="314"/>
      <c r="N11" s="314"/>
      <c r="O11" s="314"/>
      <c r="P11" s="314"/>
      <c r="Q11" s="314"/>
    </row>
    <row r="12" spans="2:17" s="8" customFormat="1" ht="102" thickBot="1">
      <c r="B12" s="384"/>
      <c r="C12" s="50" t="s">
        <v>61</v>
      </c>
      <c r="D12" s="43" t="s">
        <v>62</v>
      </c>
      <c r="E12" s="43"/>
      <c r="F12" s="51" t="s">
        <v>63</v>
      </c>
      <c r="G12" s="7"/>
      <c r="H12" s="7"/>
      <c r="I12" s="158"/>
      <c r="J12" s="9">
        <v>2</v>
      </c>
      <c r="K12" s="9" t="s">
        <v>96</v>
      </c>
      <c r="L12" s="362"/>
      <c r="M12" s="362">
        <v>200.7</v>
      </c>
      <c r="N12" s="314">
        <f>L12-O12</f>
        <v>0</v>
      </c>
      <c r="O12" s="362"/>
      <c r="P12" s="314"/>
      <c r="Q12" s="314"/>
    </row>
    <row r="13" spans="2:17" s="8" customFormat="1" ht="12.75">
      <c r="B13" s="385" t="s">
        <v>413</v>
      </c>
      <c r="C13" s="45">
        <f>F13/D13</f>
        <v>318</v>
      </c>
      <c r="D13" s="9">
        <f>'мун.задание'!P68</f>
        <v>816</v>
      </c>
      <c r="E13" s="9"/>
      <c r="F13" s="302">
        <f>проверка!B10</f>
        <v>259488</v>
      </c>
      <c r="G13" s="7"/>
      <c r="H13" s="7"/>
      <c r="I13" s="158"/>
      <c r="J13" s="301"/>
      <c r="K13" s="314" t="s">
        <v>374</v>
      </c>
      <c r="L13" s="314">
        <f>O13+N13</f>
        <v>0</v>
      </c>
      <c r="M13" s="362">
        <v>68</v>
      </c>
      <c r="N13" s="362"/>
      <c r="O13" s="362"/>
      <c r="P13" s="314">
        <f>ROUND(N13/M13,2)</f>
        <v>0</v>
      </c>
      <c r="Q13" s="314" t="e">
        <f>O13/N13+1</f>
        <v>#DIV/0!</v>
      </c>
    </row>
    <row r="14" spans="2:17" s="8" customFormat="1" ht="51.75" thickBot="1">
      <c r="B14" s="47" t="s">
        <v>420</v>
      </c>
      <c r="C14" s="383">
        <f>ROUND(F14/D14,2)</f>
        <v>37.35</v>
      </c>
      <c r="D14" s="48">
        <f>D13</f>
        <v>816</v>
      </c>
      <c r="E14" s="48"/>
      <c r="F14" s="306">
        <f>проверка!B9</f>
        <v>30478</v>
      </c>
      <c r="G14" s="7"/>
      <c r="H14" s="7"/>
      <c r="I14" s="7"/>
      <c r="J14" s="9"/>
      <c r="K14" s="314" t="s">
        <v>150</v>
      </c>
      <c r="L14" s="314">
        <f>L12-L13</f>
        <v>0</v>
      </c>
      <c r="M14" s="314">
        <f>M12-M13</f>
        <v>132.7</v>
      </c>
      <c r="N14" s="314">
        <f>N12-N13</f>
        <v>0</v>
      </c>
      <c r="O14" s="314">
        <f>O12-O13</f>
        <v>0</v>
      </c>
      <c r="P14" s="314">
        <f>ROUND(N14/M14,2)</f>
        <v>0</v>
      </c>
      <c r="Q14" s="314" t="e">
        <f>O14/N14+1</f>
        <v>#DIV/0!</v>
      </c>
    </row>
    <row r="15" spans="3:17" s="8" customFormat="1" ht="12.75">
      <c r="C15" s="7"/>
      <c r="D15" s="7"/>
      <c r="E15" s="7"/>
      <c r="F15" s="7"/>
      <c r="G15" s="7"/>
      <c r="H15" s="7"/>
      <c r="I15" s="7"/>
      <c r="J15" s="9"/>
      <c r="K15" s="9"/>
      <c r="L15" s="9"/>
      <c r="M15" s="314"/>
      <c r="N15" s="314"/>
      <c r="O15" s="314"/>
      <c r="P15" s="314"/>
      <c r="Q15" s="314"/>
    </row>
    <row r="16" spans="3:17" s="8" customFormat="1" ht="12.75">
      <c r="C16" s="7"/>
      <c r="D16" s="7"/>
      <c r="E16" s="7"/>
      <c r="F16" s="7"/>
      <c r="G16" s="7"/>
      <c r="H16" s="7"/>
      <c r="I16" s="7"/>
      <c r="J16" s="9">
        <v>3</v>
      </c>
      <c r="K16" s="9" t="s">
        <v>96</v>
      </c>
      <c r="L16" s="362"/>
      <c r="M16" s="362">
        <v>200.7</v>
      </c>
      <c r="N16" s="314">
        <f>L16-O16</f>
        <v>0</v>
      </c>
      <c r="O16" s="362"/>
      <c r="P16" s="314"/>
      <c r="Q16" s="314"/>
    </row>
    <row r="17" spans="3:17" s="8" customFormat="1" ht="12.75">
      <c r="C17" s="7"/>
      <c r="D17" s="7"/>
      <c r="E17" s="7"/>
      <c r="F17" s="7"/>
      <c r="G17" s="7"/>
      <c r="H17" s="7"/>
      <c r="I17" s="7"/>
      <c r="J17" s="9"/>
      <c r="K17" s="314" t="s">
        <v>374</v>
      </c>
      <c r="L17" s="314">
        <f>O17+N17</f>
        <v>0</v>
      </c>
      <c r="M17" s="362">
        <v>68</v>
      </c>
      <c r="N17" s="362"/>
      <c r="O17" s="362"/>
      <c r="P17" s="314">
        <f>ROUND(N17/M17,2)</f>
        <v>0</v>
      </c>
      <c r="Q17" s="314" t="e">
        <f>O17/N17+1</f>
        <v>#DIV/0!</v>
      </c>
    </row>
    <row r="18" spans="2:17" s="8" customFormat="1" ht="12.75">
      <c r="B18" s="15"/>
      <c r="C18" s="130" t="s">
        <v>140</v>
      </c>
      <c r="D18" s="15"/>
      <c r="E18" s="131"/>
      <c r="F18" s="11"/>
      <c r="G18" s="156"/>
      <c r="H18" s="15"/>
      <c r="I18" s="7"/>
      <c r="J18" s="9"/>
      <c r="K18" s="314" t="s">
        <v>150</v>
      </c>
      <c r="L18" s="314">
        <f>L16-L17</f>
        <v>0</v>
      </c>
      <c r="M18" s="314">
        <f>M16-M17</f>
        <v>132.7</v>
      </c>
      <c r="N18" s="314">
        <f>N16-N17</f>
        <v>0</v>
      </c>
      <c r="O18" s="314">
        <f>O16-O17</f>
        <v>0</v>
      </c>
      <c r="P18" s="314">
        <f>ROUND(N18/M18,2)</f>
        <v>0</v>
      </c>
      <c r="Q18" s="314" t="e">
        <f>O18/N18+1</f>
        <v>#DIV/0!</v>
      </c>
    </row>
    <row r="19" spans="2:17" s="8" customFormat="1" ht="12.75">
      <c r="B19" s="15"/>
      <c r="C19" s="15"/>
      <c r="D19" s="15"/>
      <c r="E19" s="15"/>
      <c r="F19" s="15"/>
      <c r="G19" s="15"/>
      <c r="H19" s="15"/>
      <c r="I19" s="7"/>
      <c r="J19" s="9"/>
      <c r="K19" s="9"/>
      <c r="L19" s="9"/>
      <c r="M19" s="314"/>
      <c r="N19" s="314"/>
      <c r="O19" s="314"/>
      <c r="P19" s="314"/>
      <c r="Q19" s="314"/>
    </row>
    <row r="20" spans="2:17" s="8" customFormat="1" ht="12.75">
      <c r="B20" s="15"/>
      <c r="C20" s="15"/>
      <c r="D20" s="15"/>
      <c r="E20" s="15"/>
      <c r="F20" s="15"/>
      <c r="G20" s="15"/>
      <c r="H20" s="15"/>
      <c r="I20" s="7"/>
      <c r="J20" s="9">
        <v>4</v>
      </c>
      <c r="K20" s="9" t="s">
        <v>96</v>
      </c>
      <c r="L20" s="362"/>
      <c r="M20" s="362">
        <v>200.7</v>
      </c>
      <c r="N20" s="314">
        <f>L20-O20</f>
        <v>0</v>
      </c>
      <c r="O20" s="362"/>
      <c r="P20" s="314"/>
      <c r="Q20" s="314"/>
    </row>
    <row r="21" spans="3:84" s="15" customFormat="1" ht="12.75">
      <c r="C21" t="s">
        <v>125</v>
      </c>
      <c r="F21" s="11"/>
      <c r="G21" s="156"/>
      <c r="I21" s="40"/>
      <c r="J21" s="315"/>
      <c r="K21" s="314" t="s">
        <v>374</v>
      </c>
      <c r="L21" s="314">
        <f>O21+N21</f>
        <v>0</v>
      </c>
      <c r="M21" s="362">
        <v>68</v>
      </c>
      <c r="N21" s="362"/>
      <c r="O21" s="362"/>
      <c r="P21" s="314">
        <f>ROUND(N21/M21,2)</f>
        <v>0</v>
      </c>
      <c r="Q21" s="314" t="e">
        <f>O21/N21+1</f>
        <v>#DIV/0!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9:84" s="15" customFormat="1" ht="12.75">
      <c r="I22" s="40"/>
      <c r="J22" s="315"/>
      <c r="K22" s="314" t="s">
        <v>150</v>
      </c>
      <c r="L22" s="314">
        <f>L20-L21</f>
        <v>0</v>
      </c>
      <c r="M22" s="314">
        <f>M20-M21</f>
        <v>132.7</v>
      </c>
      <c r="N22" s="314">
        <f>N20-N21</f>
        <v>0</v>
      </c>
      <c r="O22" s="314">
        <f>O20-O21</f>
        <v>0</v>
      </c>
      <c r="P22" s="314">
        <f>ROUND(N22/M22,2)</f>
        <v>0</v>
      </c>
      <c r="Q22" s="314" t="e">
        <f>O22/N22+1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2:84" s="15" customFormat="1" ht="12.75">
      <c r="B23"/>
      <c r="C23" s="2"/>
      <c r="D23" s="2"/>
      <c r="E23" s="2"/>
      <c r="F23" s="2"/>
      <c r="G23" s="2"/>
      <c r="H23" s="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2:84" s="15" customFormat="1" ht="12.75">
      <c r="B24"/>
      <c r="C24" s="2"/>
      <c r="D24" s="2"/>
      <c r="E24" s="2"/>
      <c r="F24" s="2"/>
      <c r="G24" s="2"/>
      <c r="H24" s="2"/>
      <c r="I24" s="40"/>
      <c r="J24" s="9">
        <v>5</v>
      </c>
      <c r="K24" s="9" t="s">
        <v>96</v>
      </c>
      <c r="L24" s="362"/>
      <c r="M24" s="362">
        <v>200.7</v>
      </c>
      <c r="N24" s="314">
        <f>L24-O24</f>
        <v>0</v>
      </c>
      <c r="O24" s="362"/>
      <c r="P24" s="314"/>
      <c r="Q24" s="314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2:84" s="15" customFormat="1" ht="12.75">
      <c r="B25" s="2"/>
      <c r="C25" s="2"/>
      <c r="D25" s="2"/>
      <c r="E25" s="2"/>
      <c r="F25" s="2"/>
      <c r="G25" s="492" t="s">
        <v>118</v>
      </c>
      <c r="H25" s="492"/>
      <c r="I25" s="40"/>
      <c r="J25" s="315"/>
      <c r="K25" s="314" t="s">
        <v>374</v>
      </c>
      <c r="L25" s="314">
        <f>O25+N25</f>
        <v>0</v>
      </c>
      <c r="M25" s="362">
        <v>68</v>
      </c>
      <c r="N25" s="362"/>
      <c r="O25" s="362"/>
      <c r="P25" s="314">
        <f>ROUND(N25/M25,2)</f>
        <v>0</v>
      </c>
      <c r="Q25" s="314" t="e">
        <f>O25/N25+1</f>
        <v>#DIV/0!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2:17" ht="18.75">
      <c r="B26" s="490" t="s">
        <v>6</v>
      </c>
      <c r="C26" s="490"/>
      <c r="D26" s="490"/>
      <c r="E26" s="490"/>
      <c r="F26" s="490"/>
      <c r="G26" s="490"/>
      <c r="H26" s="490"/>
      <c r="J26" s="315"/>
      <c r="K26" s="314" t="s">
        <v>150</v>
      </c>
      <c r="L26" s="314">
        <f>L24-L25</f>
        <v>0</v>
      </c>
      <c r="M26" s="314">
        <f>M24-M25</f>
        <v>132.7</v>
      </c>
      <c r="N26" s="314">
        <f>N24-N25</f>
        <v>0</v>
      </c>
      <c r="O26" s="314">
        <f>O24-O25</f>
        <v>0</v>
      </c>
      <c r="P26" s="314">
        <f>ROUND(N26/M26,2)</f>
        <v>0</v>
      </c>
      <c r="Q26" s="314" t="e">
        <f>O26/N26+1</f>
        <v>#DIV/0!</v>
      </c>
    </row>
    <row r="27" spans="2:11" ht="20.25">
      <c r="B27" s="6"/>
      <c r="C27" s="6"/>
      <c r="D27" s="6"/>
      <c r="E27" s="6"/>
      <c r="F27" s="6"/>
      <c r="G27" s="6"/>
      <c r="H27" s="6"/>
      <c r="K27" s="313"/>
    </row>
    <row r="28" spans="2:11" ht="16.5" thickBot="1">
      <c r="B28" s="491" t="s">
        <v>7</v>
      </c>
      <c r="C28" s="491"/>
      <c r="D28" s="491"/>
      <c r="E28" s="491"/>
      <c r="F28" s="491"/>
      <c r="G28" s="491"/>
      <c r="H28" s="491"/>
      <c r="K28" s="313"/>
    </row>
    <row r="29" spans="2:11" ht="33.75" customHeight="1">
      <c r="B29" s="42" t="s">
        <v>366</v>
      </c>
      <c r="C29" s="43" t="s">
        <v>364</v>
      </c>
      <c r="D29" s="43" t="s">
        <v>365</v>
      </c>
      <c r="E29" s="43" t="s">
        <v>0</v>
      </c>
      <c r="F29" s="43" t="s">
        <v>1</v>
      </c>
      <c r="G29" s="43" t="s">
        <v>2</v>
      </c>
      <c r="H29" s="44" t="s">
        <v>3</v>
      </c>
      <c r="K29" s="313"/>
    </row>
    <row r="30" spans="2:11" ht="12.75">
      <c r="B30" s="45">
        <f>M10</f>
        <v>132.7</v>
      </c>
      <c r="C30" s="45">
        <f>P10</f>
        <v>7016.06</v>
      </c>
      <c r="D30" s="45">
        <f>Q10</f>
        <v>1.3037961980878197</v>
      </c>
      <c r="E30" s="9">
        <v>12</v>
      </c>
      <c r="F30" s="9">
        <v>1</v>
      </c>
      <c r="G30" s="9">
        <f>ROUND((B30*C30*D30)*E30*F30,2)+3.76</f>
        <v>14566502.43</v>
      </c>
      <c r="H30" s="46">
        <f>ROUND(G30*30.2%,2)-1.26</f>
        <v>4399082.470000001</v>
      </c>
      <c r="K30" s="313"/>
    </row>
    <row r="31" spans="2:8" ht="12.75">
      <c r="B31" s="45"/>
      <c r="C31" s="312"/>
      <c r="D31" s="312"/>
      <c r="E31" s="9">
        <v>0</v>
      </c>
      <c r="F31" s="9">
        <v>1</v>
      </c>
      <c r="G31" s="9">
        <f>ROUND((B31*C31*D31)*E31*F31,2)</f>
        <v>0</v>
      </c>
      <c r="H31" s="46">
        <f>ROUND(G31*30.2%,2)</f>
        <v>0</v>
      </c>
    </row>
    <row r="32" spans="1:8" ht="12.75">
      <c r="A32" s="8">
        <v>3</v>
      </c>
      <c r="B32" s="298"/>
      <c r="C32" s="310"/>
      <c r="D32" s="157"/>
      <c r="E32" s="157"/>
      <c r="F32" s="157"/>
      <c r="G32" s="157"/>
      <c r="H32" s="311"/>
    </row>
    <row r="33" spans="1:8" ht="13.5" thickBot="1">
      <c r="A33" s="8">
        <v>4</v>
      </c>
      <c r="B33" s="47"/>
      <c r="C33" s="305"/>
      <c r="D33" s="48"/>
      <c r="E33" s="48"/>
      <c r="F33" s="48"/>
      <c r="G33" s="48">
        <f>SUM(G30:G32)</f>
        <v>14566502.43</v>
      </c>
      <c r="H33" s="49">
        <f>SUM(H30:H32)</f>
        <v>4399082.470000001</v>
      </c>
    </row>
    <row r="34" spans="1:8" ht="13.5" thickBot="1">
      <c r="A34" s="8"/>
      <c r="B34" s="296"/>
      <c r="C34" s="297"/>
      <c r="D34" s="296"/>
      <c r="E34" s="296"/>
      <c r="F34" s="296"/>
      <c r="G34" s="296"/>
      <c r="H34" s="296"/>
    </row>
    <row r="35" spans="1:8" ht="89.25">
      <c r="A35" s="8"/>
      <c r="B35" s="42" t="s">
        <v>367</v>
      </c>
      <c r="C35" s="43" t="s">
        <v>368</v>
      </c>
      <c r="D35" s="43" t="s">
        <v>0</v>
      </c>
      <c r="E35" s="44" t="s">
        <v>369</v>
      </c>
      <c r="F35" s="7"/>
      <c r="G35" s="7"/>
      <c r="H35" s="7" t="s">
        <v>90</v>
      </c>
    </row>
    <row r="36" spans="1:8" ht="13.5" thickBot="1">
      <c r="A36" s="8"/>
      <c r="B36" s="309"/>
      <c r="C36" s="149"/>
      <c r="D36" s="149"/>
      <c r="E36" s="49">
        <f>B36*C36*D36</f>
        <v>0</v>
      </c>
      <c r="F36" s="7"/>
      <c r="G36" s="7"/>
      <c r="H36" s="7"/>
    </row>
    <row r="37" spans="1:5" ht="13.5" thickBot="1">
      <c r="A37" s="8"/>
      <c r="B37" s="316">
        <v>50</v>
      </c>
      <c r="C37" s="303">
        <v>2</v>
      </c>
      <c r="D37" s="303">
        <v>12</v>
      </c>
      <c r="E37" s="49">
        <f>B37*C37*D37</f>
        <v>1200</v>
      </c>
    </row>
    <row r="38" spans="1:2" ht="12.75">
      <c r="A38" s="8">
        <v>4</v>
      </c>
      <c r="B38" s="2"/>
    </row>
    <row r="39" ht="12.75">
      <c r="B39" s="2"/>
    </row>
    <row r="40" ht="12.75">
      <c r="B40" s="2"/>
    </row>
    <row r="41" spans="2:8" ht="12.75">
      <c r="B41" s="130" t="s">
        <v>140</v>
      </c>
      <c r="C41" s="15"/>
      <c r="D41" s="131"/>
      <c r="E41" s="11"/>
      <c r="F41" s="11" t="s">
        <v>433</v>
      </c>
      <c r="G41" s="15"/>
      <c r="H41" s="15"/>
    </row>
    <row r="42" spans="2:8" ht="12.75">
      <c r="B42" s="15"/>
      <c r="C42" s="15"/>
      <c r="D42" s="15"/>
      <c r="E42" s="15"/>
      <c r="F42" s="15"/>
      <c r="G42" s="15"/>
      <c r="H42" s="15"/>
    </row>
    <row r="43" spans="2:8" ht="12.75">
      <c r="B43" s="15"/>
      <c r="C43" s="15"/>
      <c r="D43" s="15"/>
      <c r="E43" s="15"/>
      <c r="F43" s="15"/>
      <c r="G43" s="15"/>
      <c r="H43" s="15"/>
    </row>
    <row r="44" spans="2:8" ht="12.75">
      <c r="B44" t="s">
        <v>125</v>
      </c>
      <c r="C44" s="15"/>
      <c r="D44" s="15"/>
      <c r="E44" s="11"/>
      <c r="F44" s="11" t="s">
        <v>434</v>
      </c>
      <c r="G44" s="15"/>
      <c r="H44" s="15"/>
    </row>
  </sheetData>
  <sheetProtection/>
  <mergeCells count="7">
    <mergeCell ref="B26:H26"/>
    <mergeCell ref="B28:H28"/>
    <mergeCell ref="H1:I1"/>
    <mergeCell ref="C2:I2"/>
    <mergeCell ref="H3:I3"/>
    <mergeCell ref="C4:I4"/>
    <mergeCell ref="G25:H25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27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D95"/>
  <sheetViews>
    <sheetView zoomScalePageLayoutView="0" workbookViewId="0" topLeftCell="A43">
      <selection activeCell="F53" sqref="F53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25390625" style="0" customWidth="1"/>
    <col min="10" max="10" width="8.75390625" style="0" customWidth="1"/>
  </cols>
  <sheetData>
    <row r="1" spans="5:6" ht="12.75">
      <c r="E1" s="499" t="s">
        <v>119</v>
      </c>
      <c r="F1" s="499"/>
    </row>
    <row r="2" spans="1:6" ht="18.75">
      <c r="A2" s="494" t="s">
        <v>19</v>
      </c>
      <c r="B2" s="494"/>
      <c r="C2" s="494"/>
      <c r="D2" s="494"/>
      <c r="E2" s="494"/>
      <c r="F2" s="494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6.25" thickBot="1">
      <c r="A5" s="321"/>
      <c r="B5" s="322" t="s">
        <v>16</v>
      </c>
      <c r="C5" s="322" t="s">
        <v>17</v>
      </c>
      <c r="D5" s="322" t="s">
        <v>0</v>
      </c>
      <c r="E5" s="323" t="s">
        <v>1</v>
      </c>
      <c r="F5" s="324" t="s">
        <v>18</v>
      </c>
    </row>
    <row r="6" spans="1:7" ht="12.75">
      <c r="A6" s="42" t="s">
        <v>76</v>
      </c>
      <c r="B6" s="325">
        <v>220</v>
      </c>
      <c r="C6" s="326">
        <v>28.3</v>
      </c>
      <c r="D6" s="326">
        <v>12</v>
      </c>
      <c r="E6" s="326">
        <v>1</v>
      </c>
      <c r="F6" s="294">
        <f>B6*C6*D6*E6</f>
        <v>74712</v>
      </c>
      <c r="G6" t="s">
        <v>362</v>
      </c>
    </row>
    <row r="7" spans="1:7" ht="12.75">
      <c r="A7" s="45"/>
      <c r="B7" s="162"/>
      <c r="C7" s="1">
        <v>1</v>
      </c>
      <c r="D7" s="1"/>
      <c r="E7" s="1">
        <v>1</v>
      </c>
      <c r="F7" s="294">
        <f>B7*C7*D7*E7</f>
        <v>0</v>
      </c>
      <c r="G7" t="s">
        <v>362</v>
      </c>
    </row>
    <row r="8" spans="1:7" ht="12.75">
      <c r="A8" s="45" t="s">
        <v>426</v>
      </c>
      <c r="B8" s="1">
        <v>1464</v>
      </c>
      <c r="C8" s="1">
        <v>4</v>
      </c>
      <c r="D8" s="1">
        <v>12</v>
      </c>
      <c r="E8" s="1">
        <v>1</v>
      </c>
      <c r="F8" s="294">
        <f>B8*C8*D8*E8</f>
        <v>70272</v>
      </c>
      <c r="G8" t="s">
        <v>362</v>
      </c>
    </row>
    <row r="9" spans="1:7" ht="12.75">
      <c r="A9" s="45" t="s">
        <v>77</v>
      </c>
      <c r="B9" s="1">
        <v>0.25</v>
      </c>
      <c r="C9" s="1">
        <v>5218.12</v>
      </c>
      <c r="D9" s="1">
        <v>12</v>
      </c>
      <c r="E9" s="1">
        <v>1</v>
      </c>
      <c r="F9" s="294">
        <f>B9*C9*D9*E9-0.06</f>
        <v>15654.300000000001</v>
      </c>
      <c r="G9" t="s">
        <v>362</v>
      </c>
    </row>
    <row r="10" spans="1:7" ht="25.5">
      <c r="A10" s="45" t="s">
        <v>78</v>
      </c>
      <c r="B10" s="1">
        <v>1028.2</v>
      </c>
      <c r="C10" s="1">
        <v>1</v>
      </c>
      <c r="D10" s="1">
        <v>12</v>
      </c>
      <c r="E10" s="1">
        <v>1</v>
      </c>
      <c r="F10" s="294">
        <f aca="true" t="shared" si="0" ref="F10:F16">B10*C10*D10*E10</f>
        <v>12338.400000000001</v>
      </c>
      <c r="G10" t="s">
        <v>362</v>
      </c>
    </row>
    <row r="11" spans="1:6" ht="25.5">
      <c r="A11" s="45" t="s">
        <v>425</v>
      </c>
      <c r="B11" s="1">
        <v>1017.72</v>
      </c>
      <c r="C11" s="1">
        <v>1</v>
      </c>
      <c r="D11" s="1">
        <v>5</v>
      </c>
      <c r="E11" s="1">
        <v>1</v>
      </c>
      <c r="F11" s="294">
        <f t="shared" si="0"/>
        <v>5088.6</v>
      </c>
    </row>
    <row r="12" spans="1:7" ht="25.5">
      <c r="A12" s="45" t="s">
        <v>425</v>
      </c>
      <c r="B12" s="1">
        <v>406.81</v>
      </c>
      <c r="C12" s="1">
        <v>1</v>
      </c>
      <c r="D12" s="1">
        <v>7</v>
      </c>
      <c r="E12" s="1">
        <v>1</v>
      </c>
      <c r="F12" s="294">
        <f t="shared" si="0"/>
        <v>2847.67</v>
      </c>
      <c r="G12" t="s">
        <v>362</v>
      </c>
    </row>
    <row r="13" spans="1:8" ht="12.75">
      <c r="A13" s="60" t="s">
        <v>153</v>
      </c>
      <c r="B13" s="1">
        <v>1000.1</v>
      </c>
      <c r="C13" s="1">
        <v>4</v>
      </c>
      <c r="D13" s="1">
        <v>12</v>
      </c>
      <c r="E13" s="1">
        <v>1</v>
      </c>
      <c r="F13" s="294">
        <f t="shared" si="0"/>
        <v>48004.8</v>
      </c>
      <c r="H13">
        <v>226</v>
      </c>
    </row>
    <row r="14" spans="1:6" ht="38.25">
      <c r="A14" s="60" t="s">
        <v>80</v>
      </c>
      <c r="B14" s="1"/>
      <c r="C14" s="1"/>
      <c r="D14" s="1">
        <v>1</v>
      </c>
      <c r="E14" s="1">
        <v>1</v>
      </c>
      <c r="F14" s="294">
        <f t="shared" si="0"/>
        <v>0</v>
      </c>
    </row>
    <row r="15" spans="1:6" ht="25.5">
      <c r="A15" s="60" t="s">
        <v>415</v>
      </c>
      <c r="B15" s="1">
        <v>7400</v>
      </c>
      <c r="C15" s="1">
        <v>1</v>
      </c>
      <c r="D15" s="1">
        <v>1</v>
      </c>
      <c r="E15" s="1">
        <v>1</v>
      </c>
      <c r="F15" s="294">
        <f t="shared" si="0"/>
        <v>7400</v>
      </c>
    </row>
    <row r="16" spans="1:6" ht="25.5">
      <c r="A16" s="60" t="s">
        <v>108</v>
      </c>
      <c r="B16" s="1">
        <f>15000</f>
        <v>15000</v>
      </c>
      <c r="C16" s="1">
        <v>1</v>
      </c>
      <c r="D16" s="1">
        <v>1</v>
      </c>
      <c r="E16" s="1">
        <v>1</v>
      </c>
      <c r="F16" s="294">
        <f t="shared" si="0"/>
        <v>15000</v>
      </c>
    </row>
    <row r="17" spans="1:6" ht="12.75">
      <c r="A17" s="155" t="s">
        <v>149</v>
      </c>
      <c r="B17" s="1"/>
      <c r="C17" s="1">
        <v>1</v>
      </c>
      <c r="D17" s="1">
        <v>1</v>
      </c>
      <c r="E17" s="1">
        <v>1</v>
      </c>
      <c r="F17" s="294">
        <f aca="true" t="shared" si="1" ref="F17:F32">ROUND(B17*C17*D17,0)</f>
        <v>0</v>
      </c>
    </row>
    <row r="18" spans="1:7" ht="25.5">
      <c r="A18" s="60" t="s">
        <v>152</v>
      </c>
      <c r="B18" s="1">
        <v>2800</v>
      </c>
      <c r="C18" s="1">
        <v>1</v>
      </c>
      <c r="D18" s="1">
        <v>12</v>
      </c>
      <c r="E18" s="1">
        <v>1</v>
      </c>
      <c r="F18" s="294">
        <f aca="true" t="shared" si="2" ref="F18:F23">B18*C18*D18*E18</f>
        <v>33600</v>
      </c>
      <c r="G18" t="s">
        <v>362</v>
      </c>
    </row>
    <row r="19" spans="1:6" ht="12.75">
      <c r="A19" s="60" t="s">
        <v>424</v>
      </c>
      <c r="B19" s="1">
        <v>4000</v>
      </c>
      <c r="C19" s="1">
        <v>1</v>
      </c>
      <c r="D19" s="1">
        <v>1</v>
      </c>
      <c r="E19" s="1">
        <v>1</v>
      </c>
      <c r="F19" s="294">
        <f t="shared" si="2"/>
        <v>4000</v>
      </c>
    </row>
    <row r="20" spans="1:7" ht="12.75">
      <c r="A20" s="60" t="s">
        <v>154</v>
      </c>
      <c r="B20" s="1">
        <v>2917.14</v>
      </c>
      <c r="C20" s="1">
        <v>2</v>
      </c>
      <c r="D20" s="1">
        <v>7</v>
      </c>
      <c r="E20" s="1">
        <v>1</v>
      </c>
      <c r="F20" s="294">
        <f>B20*C20*D20*E20</f>
        <v>40839.96</v>
      </c>
      <c r="G20" t="s">
        <v>362</v>
      </c>
    </row>
    <row r="21" spans="1:6" ht="12.75">
      <c r="A21" s="60" t="s">
        <v>429</v>
      </c>
      <c r="B21" s="1">
        <v>7080</v>
      </c>
      <c r="C21" s="1">
        <v>1</v>
      </c>
      <c r="D21" s="1">
        <v>1</v>
      </c>
      <c r="E21" s="1">
        <v>1</v>
      </c>
      <c r="F21" s="294">
        <f t="shared" si="2"/>
        <v>7080</v>
      </c>
    </row>
    <row r="22" spans="1:6" ht="12.75">
      <c r="A22" s="60" t="s">
        <v>397</v>
      </c>
      <c r="B22" s="1"/>
      <c r="C22" s="1">
        <v>1</v>
      </c>
      <c r="D22" s="1">
        <v>1</v>
      </c>
      <c r="E22" s="1">
        <v>1</v>
      </c>
      <c r="F22" s="294">
        <f t="shared" si="2"/>
        <v>0</v>
      </c>
    </row>
    <row r="23" spans="1:7" ht="12.75">
      <c r="A23" s="60" t="s">
        <v>155</v>
      </c>
      <c r="B23" s="1">
        <v>1605.26</v>
      </c>
      <c r="C23" s="1">
        <v>4</v>
      </c>
      <c r="D23" s="1">
        <v>12</v>
      </c>
      <c r="E23" s="1">
        <v>1</v>
      </c>
      <c r="F23" s="294">
        <f t="shared" si="2"/>
        <v>77052.48</v>
      </c>
      <c r="G23" t="s">
        <v>362</v>
      </c>
    </row>
    <row r="24" spans="1:6" ht="12.75" hidden="1">
      <c r="A24" s="60" t="s">
        <v>382</v>
      </c>
      <c r="B24" s="1"/>
      <c r="C24" s="1">
        <v>1</v>
      </c>
      <c r="D24" s="1">
        <v>1</v>
      </c>
      <c r="E24" s="1">
        <v>1</v>
      </c>
      <c r="F24" s="294">
        <f t="shared" si="1"/>
        <v>0</v>
      </c>
    </row>
    <row r="25" spans="1:6" ht="24" hidden="1">
      <c r="A25" s="293" t="s">
        <v>384</v>
      </c>
      <c r="B25" s="1"/>
      <c r="C25" s="1">
        <v>1</v>
      </c>
      <c r="D25" s="1">
        <v>1</v>
      </c>
      <c r="E25" s="1">
        <v>1</v>
      </c>
      <c r="F25" s="294">
        <f t="shared" si="1"/>
        <v>0</v>
      </c>
    </row>
    <row r="26" spans="1:6" ht="12.75" hidden="1">
      <c r="A26" s="293" t="s">
        <v>392</v>
      </c>
      <c r="B26" s="1"/>
      <c r="C26" s="1">
        <v>1</v>
      </c>
      <c r="D26" s="1">
        <v>1</v>
      </c>
      <c r="E26" s="1">
        <v>1</v>
      </c>
      <c r="F26" s="294">
        <f t="shared" si="1"/>
        <v>0</v>
      </c>
    </row>
    <row r="27" spans="1:6" ht="12.75" hidden="1">
      <c r="A27" s="293" t="s">
        <v>393</v>
      </c>
      <c r="B27" s="1"/>
      <c r="C27" s="1">
        <v>1</v>
      </c>
      <c r="D27" s="1">
        <v>1</v>
      </c>
      <c r="E27" s="1">
        <v>1</v>
      </c>
      <c r="F27" s="294">
        <f t="shared" si="1"/>
        <v>0</v>
      </c>
    </row>
    <row r="28" spans="1:6" ht="24" hidden="1">
      <c r="A28" s="293" t="s">
        <v>394</v>
      </c>
      <c r="B28" s="1"/>
      <c r="C28" s="1">
        <v>1</v>
      </c>
      <c r="D28" s="1">
        <v>1</v>
      </c>
      <c r="E28" s="1">
        <v>1</v>
      </c>
      <c r="F28" s="294">
        <f t="shared" si="1"/>
        <v>0</v>
      </c>
    </row>
    <row r="29" spans="1:6" ht="12.75" hidden="1">
      <c r="A29" s="293" t="s">
        <v>395</v>
      </c>
      <c r="B29" s="1"/>
      <c r="C29" s="1">
        <v>1</v>
      </c>
      <c r="D29" s="1">
        <v>1</v>
      </c>
      <c r="E29" s="1">
        <v>1</v>
      </c>
      <c r="F29" s="294">
        <f t="shared" si="1"/>
        <v>0</v>
      </c>
    </row>
    <row r="30" spans="1:6" ht="12.75" hidden="1">
      <c r="A30" s="293" t="s">
        <v>396</v>
      </c>
      <c r="B30" s="1"/>
      <c r="C30" s="1">
        <v>1</v>
      </c>
      <c r="D30" s="1">
        <v>1</v>
      </c>
      <c r="E30" s="1">
        <v>1</v>
      </c>
      <c r="F30" s="294">
        <f t="shared" si="1"/>
        <v>0</v>
      </c>
    </row>
    <row r="31" spans="1:6" ht="12.75" hidden="1">
      <c r="A31" s="293" t="s">
        <v>397</v>
      </c>
      <c r="B31" s="1"/>
      <c r="C31" s="1">
        <v>1</v>
      </c>
      <c r="D31" s="1">
        <v>1</v>
      </c>
      <c r="E31" s="1">
        <v>1</v>
      </c>
      <c r="F31" s="294">
        <f t="shared" si="1"/>
        <v>0</v>
      </c>
    </row>
    <row r="32" spans="1:6" ht="12.75" hidden="1">
      <c r="A32" s="45" t="s">
        <v>390</v>
      </c>
      <c r="B32" s="1"/>
      <c r="C32" s="1">
        <v>1</v>
      </c>
      <c r="D32" s="1">
        <v>1</v>
      </c>
      <c r="E32" s="1">
        <v>1</v>
      </c>
      <c r="F32" s="294">
        <f t="shared" si="1"/>
        <v>0</v>
      </c>
    </row>
    <row r="33" spans="1:8" ht="13.5" thickBot="1">
      <c r="A33" s="62" t="s">
        <v>151</v>
      </c>
      <c r="B33" s="56"/>
      <c r="C33" s="56"/>
      <c r="D33" s="56"/>
      <c r="E33" s="56"/>
      <c r="F33" s="320">
        <f>SUM(F18:F32)-0.41</f>
        <v>162572.03</v>
      </c>
      <c r="H33" s="26"/>
    </row>
    <row r="34" spans="1:7" ht="12.75">
      <c r="A34" s="22"/>
      <c r="B34" s="13"/>
      <c r="C34" s="13"/>
      <c r="D34" s="13"/>
      <c r="E34" s="13"/>
      <c r="F34" s="159"/>
      <c r="G34" s="13"/>
    </row>
    <row r="35" spans="1:6" ht="12.75" hidden="1">
      <c r="A35" s="22"/>
      <c r="B35" s="13"/>
      <c r="C35" s="13"/>
      <c r="D35" s="13"/>
      <c r="E35" s="13"/>
      <c r="F35" s="13"/>
    </row>
    <row r="36" spans="1:6" ht="12.75" hidden="1">
      <c r="A36" s="22"/>
      <c r="B36" s="13"/>
      <c r="C36" s="13"/>
      <c r="D36" s="13"/>
      <c r="E36" s="13"/>
      <c r="F36" s="13"/>
    </row>
    <row r="37" spans="1:6" ht="12.75" hidden="1">
      <c r="A37" s="22"/>
      <c r="B37" s="13"/>
      <c r="C37" s="13"/>
      <c r="D37" s="13"/>
      <c r="E37" s="13"/>
      <c r="F37" s="13"/>
    </row>
    <row r="38" spans="1:6" ht="12.75" hidden="1">
      <c r="A38" s="22"/>
      <c r="B38" s="13"/>
      <c r="C38" s="13"/>
      <c r="D38" s="13"/>
      <c r="E38" s="13"/>
      <c r="F38" s="13"/>
    </row>
    <row r="39" spans="1:6" ht="12.75" hidden="1">
      <c r="A39" s="22"/>
      <c r="B39" s="13"/>
      <c r="C39" s="13"/>
      <c r="D39" s="13"/>
      <c r="E39" s="13"/>
      <c r="F39" s="13"/>
    </row>
    <row r="40" ht="12.75">
      <c r="A40" s="2"/>
    </row>
    <row r="41" spans="1:6" ht="32.25" customHeight="1">
      <c r="A41" s="495" t="s">
        <v>20</v>
      </c>
      <c r="B41" s="496"/>
      <c r="C41" s="496"/>
      <c r="D41" s="496"/>
      <c r="E41" s="496"/>
      <c r="F41" s="496"/>
    </row>
    <row r="42" ht="13.5" thickBot="1">
      <c r="A42" s="2"/>
    </row>
    <row r="43" spans="1:6" ht="25.5">
      <c r="A43" s="57"/>
      <c r="B43" s="53" t="s">
        <v>16</v>
      </c>
      <c r="C43" s="53" t="s">
        <v>17</v>
      </c>
      <c r="D43" s="53" t="s">
        <v>0</v>
      </c>
      <c r="E43" s="43" t="s">
        <v>1</v>
      </c>
      <c r="F43" s="54" t="s">
        <v>18</v>
      </c>
    </row>
    <row r="44" spans="1:6" ht="25.5">
      <c r="A44" s="45" t="s">
        <v>74</v>
      </c>
      <c r="B44" s="1">
        <v>238.36</v>
      </c>
      <c r="C44" s="1">
        <v>5</v>
      </c>
      <c r="D44" s="1">
        <v>12</v>
      </c>
      <c r="E44" s="1">
        <v>1</v>
      </c>
      <c r="F44" s="59">
        <f aca="true" t="shared" si="3" ref="F44:F52">ROUND(B44*C44*D44*E44,2)</f>
        <v>14301.6</v>
      </c>
    </row>
    <row r="45" spans="1:6" ht="25.5">
      <c r="A45" s="45" t="s">
        <v>74</v>
      </c>
      <c r="B45" s="1"/>
      <c r="C45" s="1"/>
      <c r="D45" s="1"/>
      <c r="E45" s="1"/>
      <c r="F45" s="59">
        <f t="shared" si="3"/>
        <v>0</v>
      </c>
    </row>
    <row r="46" spans="1:6" ht="12.75">
      <c r="A46" s="45" t="s">
        <v>75</v>
      </c>
      <c r="B46" s="1">
        <v>0.47</v>
      </c>
      <c r="C46" s="1">
        <v>3656</v>
      </c>
      <c r="D46" s="1">
        <v>12</v>
      </c>
      <c r="E46" s="1">
        <v>1</v>
      </c>
      <c r="F46" s="59">
        <f>ROUND(B46*C46*D46*E46,2)</f>
        <v>20619.84</v>
      </c>
    </row>
    <row r="47" spans="1:6" ht="12.75" hidden="1">
      <c r="A47" s="45" t="s">
        <v>75</v>
      </c>
      <c r="B47" s="1"/>
      <c r="C47" s="1"/>
      <c r="D47" s="1"/>
      <c r="E47" s="1">
        <v>1</v>
      </c>
      <c r="F47" s="59">
        <f t="shared" si="3"/>
        <v>0</v>
      </c>
    </row>
    <row r="48" spans="1:6" ht="12.75" hidden="1">
      <c r="A48" s="45" t="s">
        <v>75</v>
      </c>
      <c r="B48" s="1"/>
      <c r="C48" s="1"/>
      <c r="D48" s="1"/>
      <c r="E48" s="1">
        <v>1</v>
      </c>
      <c r="F48" s="59">
        <f t="shared" si="3"/>
        <v>0</v>
      </c>
    </row>
    <row r="49" spans="1:6" ht="12.75" hidden="1">
      <c r="A49" s="45" t="s">
        <v>75</v>
      </c>
      <c r="B49" s="1"/>
      <c r="C49" s="1"/>
      <c r="D49" s="1"/>
      <c r="E49" s="1">
        <v>1</v>
      </c>
      <c r="F49" s="59">
        <f t="shared" si="3"/>
        <v>0</v>
      </c>
    </row>
    <row r="50" spans="1:6" ht="12.75">
      <c r="A50" s="45" t="s">
        <v>75</v>
      </c>
      <c r="B50" s="1"/>
      <c r="C50" s="1"/>
      <c r="D50" s="1"/>
      <c r="E50" s="1"/>
      <c r="F50" s="59">
        <f t="shared" si="3"/>
        <v>0</v>
      </c>
    </row>
    <row r="51" spans="1:6" ht="12.75">
      <c r="A51" s="45" t="s">
        <v>73</v>
      </c>
      <c r="B51" s="1">
        <v>531</v>
      </c>
      <c r="C51" s="1">
        <v>5</v>
      </c>
      <c r="D51" s="1">
        <v>12</v>
      </c>
      <c r="E51" s="1">
        <v>1</v>
      </c>
      <c r="F51" s="59">
        <f t="shared" si="3"/>
        <v>31860</v>
      </c>
    </row>
    <row r="52" spans="1:6" ht="12.75">
      <c r="A52" s="45" t="s">
        <v>73</v>
      </c>
      <c r="B52" s="1"/>
      <c r="C52" s="1">
        <v>1</v>
      </c>
      <c r="D52" s="1">
        <v>1</v>
      </c>
      <c r="E52" s="1">
        <v>1</v>
      </c>
      <c r="F52" s="59">
        <f t="shared" si="3"/>
        <v>0</v>
      </c>
    </row>
    <row r="53" spans="1:6" ht="12.75">
      <c r="A53" s="45" t="s">
        <v>72</v>
      </c>
      <c r="B53" s="1"/>
      <c r="C53" s="1"/>
      <c r="D53" s="1"/>
      <c r="E53" s="1"/>
      <c r="F53" s="142">
        <f>F44+F46+F51+F50+F49+F45+F52-0.44</f>
        <v>66781</v>
      </c>
    </row>
    <row r="54" spans="1:6" ht="27" customHeight="1" thickBot="1">
      <c r="A54" s="47" t="s">
        <v>21</v>
      </c>
      <c r="B54" s="56"/>
      <c r="C54" s="56"/>
      <c r="D54" s="56"/>
      <c r="E54" s="56"/>
      <c r="F54" s="61">
        <f>ROUND(B54*C54*D54*E54,2)</f>
        <v>0</v>
      </c>
    </row>
    <row r="55" ht="12.75">
      <c r="A55" s="2"/>
    </row>
    <row r="57" spans="1:4" ht="18.75">
      <c r="A57" s="145" t="s">
        <v>143</v>
      </c>
      <c r="B57" s="146"/>
      <c r="C57" s="146"/>
      <c r="D57" s="147"/>
    </row>
    <row r="58" spans="1:4" ht="45">
      <c r="A58" s="141" t="s">
        <v>141</v>
      </c>
      <c r="B58" s="327" t="s">
        <v>17</v>
      </c>
      <c r="C58" s="327" t="s">
        <v>16</v>
      </c>
      <c r="D58" s="141" t="s">
        <v>144</v>
      </c>
    </row>
    <row r="59" spans="1:4" ht="15">
      <c r="A59" s="160"/>
      <c r="B59" s="137"/>
      <c r="C59" s="137"/>
      <c r="D59" s="1">
        <f aca="true" t="shared" si="4" ref="D59:D66">B59*C59</f>
        <v>0</v>
      </c>
    </row>
    <row r="60" spans="1:4" ht="15">
      <c r="A60" s="160"/>
      <c r="B60" s="137"/>
      <c r="C60" s="137"/>
      <c r="D60" s="1">
        <f t="shared" si="4"/>
        <v>0</v>
      </c>
    </row>
    <row r="61" spans="1:4" ht="15">
      <c r="A61" s="137"/>
      <c r="B61" s="137"/>
      <c r="C61" s="137"/>
      <c r="D61" s="1">
        <f t="shared" si="4"/>
        <v>0</v>
      </c>
    </row>
    <row r="62" spans="1:4" ht="15" hidden="1">
      <c r="A62" s="137"/>
      <c r="B62" s="137"/>
      <c r="C62" s="137"/>
      <c r="D62" s="1">
        <f t="shared" si="4"/>
        <v>0</v>
      </c>
    </row>
    <row r="63" spans="1:4" ht="15" hidden="1">
      <c r="A63" s="137"/>
      <c r="B63" s="137"/>
      <c r="C63" s="137"/>
      <c r="D63" s="1">
        <f t="shared" si="4"/>
        <v>0</v>
      </c>
    </row>
    <row r="64" spans="1:4" ht="15" hidden="1">
      <c r="A64" s="137"/>
      <c r="B64" s="137"/>
      <c r="C64" s="137"/>
      <c r="D64" s="1">
        <f t="shared" si="4"/>
        <v>0</v>
      </c>
    </row>
    <row r="65" spans="1:4" ht="15" hidden="1">
      <c r="A65" s="137"/>
      <c r="B65" s="137"/>
      <c r="C65" s="137"/>
      <c r="D65" s="1">
        <f t="shared" si="4"/>
        <v>0</v>
      </c>
    </row>
    <row r="66" spans="1:4" ht="15" hidden="1">
      <c r="A66" s="137"/>
      <c r="B66" s="137"/>
      <c r="C66" s="137"/>
      <c r="D66" s="1">
        <f t="shared" si="4"/>
        <v>0</v>
      </c>
    </row>
    <row r="67" spans="1:4" ht="14.25">
      <c r="A67" s="138" t="s">
        <v>96</v>
      </c>
      <c r="B67" s="138"/>
      <c r="C67" s="138"/>
      <c r="D67" s="1">
        <f>ROUND(SUM(D59:D66),2)</f>
        <v>0</v>
      </c>
    </row>
    <row r="69" spans="1:6" ht="18.75">
      <c r="A69" s="497" t="s">
        <v>81</v>
      </c>
      <c r="B69" s="498"/>
      <c r="C69" s="498"/>
      <c r="D69" s="498"/>
      <c r="E69" s="498"/>
      <c r="F69" s="498"/>
    </row>
    <row r="70" ht="13.5" thickBot="1"/>
    <row r="71" spans="1:6" ht="25.5">
      <c r="A71" s="57"/>
      <c r="B71" s="53" t="s">
        <v>16</v>
      </c>
      <c r="C71" s="53" t="s">
        <v>17</v>
      </c>
      <c r="D71" s="53" t="s">
        <v>0</v>
      </c>
      <c r="E71" s="43" t="s">
        <v>1</v>
      </c>
      <c r="F71" s="54" t="s">
        <v>18</v>
      </c>
    </row>
    <row r="72" spans="1:6" ht="12.75">
      <c r="A72" s="45" t="s">
        <v>146</v>
      </c>
      <c r="B72" s="1">
        <v>1280</v>
      </c>
      <c r="C72" s="1">
        <v>177</v>
      </c>
      <c r="D72" s="1">
        <v>1</v>
      </c>
      <c r="E72" s="1">
        <v>1</v>
      </c>
      <c r="F72" s="295">
        <f aca="true" t="shared" si="5" ref="F72:F86">ROUND(B72*C72*D72*E72,2)</f>
        <v>226560</v>
      </c>
    </row>
    <row r="73" spans="1:6" ht="12.75">
      <c r="A73" s="45" t="s">
        <v>146</v>
      </c>
      <c r="B73" s="1">
        <v>1110</v>
      </c>
      <c r="C73" s="1">
        <v>10</v>
      </c>
      <c r="D73" s="1">
        <v>1</v>
      </c>
      <c r="E73" s="1">
        <v>1</v>
      </c>
      <c r="F73" s="59">
        <f t="shared" si="5"/>
        <v>11100</v>
      </c>
    </row>
    <row r="74" spans="1:6" ht="12.75">
      <c r="A74" s="45" t="s">
        <v>146</v>
      </c>
      <c r="B74" s="1">
        <v>110</v>
      </c>
      <c r="C74" s="1">
        <v>30</v>
      </c>
      <c r="D74" s="1">
        <v>1</v>
      </c>
      <c r="E74" s="1">
        <v>1</v>
      </c>
      <c r="F74" s="59">
        <f>ROUND(B74*C74*D74*E74,2)</f>
        <v>3300</v>
      </c>
    </row>
    <row r="75" spans="1:7" ht="12.75">
      <c r="A75" s="45" t="s">
        <v>146</v>
      </c>
      <c r="B75" s="1">
        <v>150</v>
      </c>
      <c r="C75" s="1">
        <v>187</v>
      </c>
      <c r="D75" s="1">
        <v>1</v>
      </c>
      <c r="E75" s="1">
        <v>1</v>
      </c>
      <c r="F75" s="294">
        <f t="shared" si="5"/>
        <v>28050</v>
      </c>
      <c r="G75" t="s">
        <v>362</v>
      </c>
    </row>
    <row r="76" spans="1:6" ht="12.75" hidden="1">
      <c r="A76" s="45" t="s">
        <v>146</v>
      </c>
      <c r="B76" s="1"/>
      <c r="C76" s="1"/>
      <c r="D76" s="1">
        <v>1</v>
      </c>
      <c r="E76" s="1">
        <v>1</v>
      </c>
      <c r="F76" s="294">
        <f t="shared" si="5"/>
        <v>0</v>
      </c>
    </row>
    <row r="77" spans="1:7" ht="12.75" hidden="1">
      <c r="A77" s="45" t="s">
        <v>156</v>
      </c>
      <c r="B77" s="1"/>
      <c r="C77" s="1">
        <v>1</v>
      </c>
      <c r="D77" s="1">
        <v>1</v>
      </c>
      <c r="E77" s="1">
        <v>1</v>
      </c>
      <c r="F77" s="59">
        <f t="shared" si="5"/>
        <v>0</v>
      </c>
      <c r="G77" t="s">
        <v>362</v>
      </c>
    </row>
    <row r="78" spans="1:6" ht="12.75">
      <c r="A78" s="45" t="s">
        <v>427</v>
      </c>
      <c r="B78" s="1">
        <v>24720</v>
      </c>
      <c r="C78" s="1">
        <v>1</v>
      </c>
      <c r="D78" s="1">
        <v>1</v>
      </c>
      <c r="E78" s="1">
        <v>1</v>
      </c>
      <c r="F78" s="294">
        <f>ROUND(B78*C78*D78*E78,2)</f>
        <v>24720</v>
      </c>
    </row>
    <row r="79" spans="1:6" ht="12.75">
      <c r="A79" s="45" t="s">
        <v>383</v>
      </c>
      <c r="B79" s="1">
        <v>3700</v>
      </c>
      <c r="C79" s="1">
        <v>1</v>
      </c>
      <c r="D79" s="1">
        <v>1</v>
      </c>
      <c r="E79" s="1">
        <v>1</v>
      </c>
      <c r="F79" s="59">
        <v>2700</v>
      </c>
    </row>
    <row r="80" spans="1:6" ht="12.75" hidden="1">
      <c r="A80" s="45"/>
      <c r="B80" s="1"/>
      <c r="C80" s="1"/>
      <c r="D80" s="1"/>
      <c r="E80" s="1"/>
      <c r="F80" s="59">
        <f t="shared" si="5"/>
        <v>0</v>
      </c>
    </row>
    <row r="81" spans="1:6" ht="12.75" hidden="1">
      <c r="A81" s="45"/>
      <c r="B81" s="1"/>
      <c r="C81" s="1"/>
      <c r="D81" s="1"/>
      <c r="E81" s="1"/>
      <c r="F81" s="59">
        <f t="shared" si="5"/>
        <v>0</v>
      </c>
    </row>
    <row r="82" spans="1:6" ht="12.75" hidden="1">
      <c r="A82" s="45"/>
      <c r="B82" s="1"/>
      <c r="C82" s="1"/>
      <c r="D82" s="1"/>
      <c r="E82" s="1"/>
      <c r="F82" s="59">
        <f t="shared" si="5"/>
        <v>0</v>
      </c>
    </row>
    <row r="83" spans="1:6" ht="12.75" hidden="1">
      <c r="A83" s="45"/>
      <c r="B83" s="1"/>
      <c r="C83" s="1"/>
      <c r="D83" s="1"/>
      <c r="E83" s="1"/>
      <c r="F83" s="59">
        <f t="shared" si="5"/>
        <v>0</v>
      </c>
    </row>
    <row r="84" spans="1:6" ht="12.75" hidden="1">
      <c r="A84" s="45"/>
      <c r="B84" s="1"/>
      <c r="C84" s="1"/>
      <c r="D84" s="1"/>
      <c r="E84" s="1"/>
      <c r="F84" s="59">
        <f t="shared" si="5"/>
        <v>0</v>
      </c>
    </row>
    <row r="85" spans="1:6" ht="12.75" hidden="1">
      <c r="A85" s="45"/>
      <c r="B85" s="1"/>
      <c r="C85" s="1"/>
      <c r="D85" s="1"/>
      <c r="E85" s="1"/>
      <c r="F85" s="59">
        <f t="shared" si="5"/>
        <v>0</v>
      </c>
    </row>
    <row r="86" spans="1:6" ht="25.5">
      <c r="A86" s="298" t="s">
        <v>414</v>
      </c>
      <c r="B86" s="367">
        <v>3100</v>
      </c>
      <c r="C86" s="367">
        <v>1</v>
      </c>
      <c r="D86" s="367">
        <v>1</v>
      </c>
      <c r="E86" s="367">
        <v>1</v>
      </c>
      <c r="F86" s="59">
        <f t="shared" si="5"/>
        <v>3100</v>
      </c>
    </row>
    <row r="87" spans="1:6" ht="13.5" thickBot="1">
      <c r="A87" s="47" t="s">
        <v>72</v>
      </c>
      <c r="B87" s="56"/>
      <c r="C87" s="56"/>
      <c r="D87" s="56"/>
      <c r="E87" s="56"/>
      <c r="F87" s="320">
        <f>F72+F73+F75+F77+F79+F86</f>
        <v>271510</v>
      </c>
    </row>
    <row r="88" ht="12.75">
      <c r="H88" s="143"/>
    </row>
    <row r="91" spans="1:82" s="15" customFormat="1" ht="12.75">
      <c r="A91" s="130" t="s">
        <v>140</v>
      </c>
      <c r="C91" s="131"/>
      <c r="D91" s="11" t="s">
        <v>433</v>
      </c>
      <c r="E91" s="156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</row>
    <row r="92" spans="8:82" s="15" customFormat="1" ht="12.75"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</row>
    <row r="93" spans="8:82" s="15" customFormat="1" ht="12.75"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</row>
    <row r="94" spans="1:82" s="15" customFormat="1" ht="12.75">
      <c r="A94" t="s">
        <v>125</v>
      </c>
      <c r="D94" s="11" t="s">
        <v>434</v>
      </c>
      <c r="E94" s="156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</row>
    <row r="95" spans="7:82" s="15" customFormat="1" ht="12.75"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</row>
  </sheetData>
  <sheetProtection/>
  <mergeCells count="4">
    <mergeCell ref="A2:F2"/>
    <mergeCell ref="A41:F41"/>
    <mergeCell ref="A69:F69"/>
    <mergeCell ref="E1:F1"/>
  </mergeCells>
  <printOptions/>
  <pageMargins left="0.98" right="0" top="0.24" bottom="0.31" header="0.19" footer="0.2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1">
      <selection activeCell="D52" sqref="D52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00390625" style="0" customWidth="1"/>
  </cols>
  <sheetData>
    <row r="1" spans="5:6" ht="12.75">
      <c r="E1" s="499" t="s">
        <v>120</v>
      </c>
      <c r="F1" s="499"/>
    </row>
    <row r="2" spans="1:6" ht="18.75">
      <c r="A2" s="494" t="s">
        <v>104</v>
      </c>
      <c r="B2" s="494"/>
      <c r="C2" s="494"/>
      <c r="D2" s="494"/>
      <c r="E2" s="494"/>
      <c r="F2" s="494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5.5">
      <c r="A5" s="57"/>
      <c r="B5" s="53" t="s">
        <v>16</v>
      </c>
      <c r="C5" s="53" t="s">
        <v>17</v>
      </c>
      <c r="D5" s="53" t="s">
        <v>0</v>
      </c>
      <c r="E5" s="43" t="s">
        <v>1</v>
      </c>
      <c r="F5" s="54" t="s">
        <v>18</v>
      </c>
    </row>
    <row r="6" spans="1:6" ht="12.75">
      <c r="A6" s="58" t="s">
        <v>98</v>
      </c>
      <c r="B6" s="1"/>
      <c r="C6" s="1"/>
      <c r="D6" s="1"/>
      <c r="E6" s="1">
        <v>1</v>
      </c>
      <c r="F6" s="59">
        <f>ROUND(B6*C6*D6*E6,2)</f>
        <v>0</v>
      </c>
    </row>
    <row r="7" spans="1:6" ht="12.75">
      <c r="A7" s="58" t="s">
        <v>99</v>
      </c>
      <c r="B7" s="1"/>
      <c r="C7" s="1"/>
      <c r="D7" s="1"/>
      <c r="E7" s="1">
        <v>1</v>
      </c>
      <c r="F7" s="59">
        <f>ROUND(B7*C7*D7*E7,2)</f>
        <v>0</v>
      </c>
    </row>
    <row r="8" spans="1:6" ht="12.75" hidden="1">
      <c r="A8" s="45" t="s">
        <v>77</v>
      </c>
      <c r="B8" s="1"/>
      <c r="C8" s="1">
        <v>1</v>
      </c>
      <c r="D8" s="1">
        <v>1</v>
      </c>
      <c r="E8" s="1">
        <v>1.065</v>
      </c>
      <c r="F8" s="59">
        <f>ROUND(B8*C8*D8*E8,2)</f>
        <v>0</v>
      </c>
    </row>
    <row r="9" spans="1:6" ht="25.5" hidden="1">
      <c r="A9" s="45" t="s">
        <v>78</v>
      </c>
      <c r="B9" s="1"/>
      <c r="C9" s="1">
        <v>1</v>
      </c>
      <c r="D9" s="1">
        <v>12</v>
      </c>
      <c r="E9" s="1">
        <v>1</v>
      </c>
      <c r="F9" s="59">
        <f>ROUND(B9*C9*D9*E9,2)</f>
        <v>0</v>
      </c>
    </row>
    <row r="10" spans="1:6" ht="12.75" hidden="1">
      <c r="A10" s="60" t="s">
        <v>22</v>
      </c>
      <c r="B10" s="1"/>
      <c r="C10" s="1"/>
      <c r="D10" s="1"/>
      <c r="E10" s="1"/>
      <c r="F10" s="59">
        <f>SUM(F6:F9)</f>
        <v>0</v>
      </c>
    </row>
    <row r="11" spans="1:6" ht="12.75" hidden="1">
      <c r="A11" s="60" t="s">
        <v>79</v>
      </c>
      <c r="B11" s="1"/>
      <c r="C11" s="1">
        <v>1</v>
      </c>
      <c r="D11" s="1">
        <v>12</v>
      </c>
      <c r="E11" s="1">
        <v>1.065</v>
      </c>
      <c r="F11" s="59">
        <f>ROUND(B11*C11*D11*E11,2)</f>
        <v>0</v>
      </c>
    </row>
    <row r="12" spans="1:6" ht="38.25" hidden="1">
      <c r="A12" s="60" t="s">
        <v>80</v>
      </c>
      <c r="B12" s="1"/>
      <c r="C12" s="1">
        <v>1</v>
      </c>
      <c r="D12" s="1">
        <v>1</v>
      </c>
      <c r="E12" s="1">
        <v>1</v>
      </c>
      <c r="F12" s="59">
        <f>ROUND(B12*C12*D12*E12,2)</f>
        <v>0</v>
      </c>
    </row>
    <row r="13" spans="1:6" ht="12.75" hidden="1">
      <c r="A13" s="60"/>
      <c r="B13" s="1"/>
      <c r="C13" s="1"/>
      <c r="D13" s="1"/>
      <c r="E13" s="1"/>
      <c r="F13" s="59"/>
    </row>
    <row r="14" spans="1:6" ht="12.75" hidden="1">
      <c r="A14" s="60"/>
      <c r="B14" s="1"/>
      <c r="C14" s="1"/>
      <c r="D14" s="1"/>
      <c r="E14" s="1"/>
      <c r="F14" s="59"/>
    </row>
    <row r="15" spans="1:6" ht="12.75" hidden="1">
      <c r="A15" s="60"/>
      <c r="B15" s="1"/>
      <c r="C15" s="1"/>
      <c r="D15" s="1"/>
      <c r="E15" s="1"/>
      <c r="F15" s="59"/>
    </row>
    <row r="16" spans="1:6" ht="12.75" hidden="1">
      <c r="A16" s="60"/>
      <c r="B16" s="1"/>
      <c r="C16" s="1"/>
      <c r="D16" s="1"/>
      <c r="E16" s="1"/>
      <c r="F16" s="59"/>
    </row>
    <row r="17" spans="1:6" ht="12.75" hidden="1">
      <c r="A17" s="60"/>
      <c r="B17" s="1"/>
      <c r="C17" s="1"/>
      <c r="D17" s="1"/>
      <c r="E17" s="1"/>
      <c r="F17" s="59"/>
    </row>
    <row r="18" spans="1:6" ht="12.75" hidden="1">
      <c r="A18" s="60"/>
      <c r="B18" s="1"/>
      <c r="C18" s="1"/>
      <c r="D18" s="1"/>
      <c r="E18" s="1"/>
      <c r="F18" s="59"/>
    </row>
    <row r="19" spans="1:6" ht="12.75" hidden="1">
      <c r="A19" s="60"/>
      <c r="B19" s="1"/>
      <c r="C19" s="1"/>
      <c r="D19" s="1"/>
      <c r="E19" s="1"/>
      <c r="F19" s="59"/>
    </row>
    <row r="20" spans="1:6" ht="12.75" hidden="1">
      <c r="A20" s="60"/>
      <c r="B20" s="1"/>
      <c r="C20" s="1"/>
      <c r="D20" s="1"/>
      <c r="E20" s="1"/>
      <c r="F20" s="59"/>
    </row>
    <row r="21" spans="1:6" ht="12.75" hidden="1">
      <c r="A21" s="60"/>
      <c r="B21" s="1"/>
      <c r="C21" s="1"/>
      <c r="D21" s="1"/>
      <c r="E21" s="1"/>
      <c r="F21" s="59"/>
    </row>
    <row r="22" spans="1:6" ht="13.5" thickBot="1">
      <c r="A22" s="62"/>
      <c r="B22" s="56"/>
      <c r="C22" s="56"/>
      <c r="D22" s="56"/>
      <c r="E22" s="56"/>
      <c r="F22" s="61"/>
    </row>
    <row r="23" spans="1:6" ht="32.25" customHeight="1">
      <c r="A23" s="494" t="s">
        <v>105</v>
      </c>
      <c r="B23" s="500"/>
      <c r="C23" s="500"/>
      <c r="D23" s="500"/>
      <c r="E23" s="500"/>
      <c r="F23" s="500"/>
    </row>
    <row r="24" ht="13.5" thickBot="1">
      <c r="A24" s="2"/>
    </row>
    <row r="25" spans="1:6" ht="25.5">
      <c r="A25" s="57"/>
      <c r="B25" s="53" t="s">
        <v>16</v>
      </c>
      <c r="C25" s="53" t="s">
        <v>17</v>
      </c>
      <c r="D25" s="53" t="s">
        <v>0</v>
      </c>
      <c r="E25" s="43" t="s">
        <v>1</v>
      </c>
      <c r="F25" s="54" t="s">
        <v>18</v>
      </c>
    </row>
    <row r="26" spans="1:6" ht="12.75">
      <c r="A26" s="58" t="s">
        <v>100</v>
      </c>
      <c r="B26" s="1"/>
      <c r="C26" s="1"/>
      <c r="D26" s="1"/>
      <c r="E26" s="1">
        <v>1</v>
      </c>
      <c r="F26" s="59">
        <f>ROUND(B26*C26*D26*E26,2)</f>
        <v>0</v>
      </c>
    </row>
    <row r="27" spans="1:6" ht="12.75">
      <c r="A27" s="58" t="s">
        <v>101</v>
      </c>
      <c r="B27" s="1"/>
      <c r="C27" s="1"/>
      <c r="D27" s="1"/>
      <c r="E27" s="1">
        <v>1</v>
      </c>
      <c r="F27" s="59">
        <f>ROUND(B27*C27*D27*E27,2)</f>
        <v>0</v>
      </c>
    </row>
    <row r="28" spans="1:6" ht="12.75">
      <c r="A28" s="58" t="s">
        <v>102</v>
      </c>
      <c r="B28" s="1"/>
      <c r="C28" s="1"/>
      <c r="D28" s="1"/>
      <c r="E28" s="1">
        <v>1</v>
      </c>
      <c r="F28" s="59">
        <f>ROUND(B28*C28*D28*E28,2)</f>
        <v>0</v>
      </c>
    </row>
    <row r="29" spans="1:6" ht="13.5" thickBot="1">
      <c r="A29" s="47" t="s">
        <v>72</v>
      </c>
      <c r="B29" s="56"/>
      <c r="C29" s="56"/>
      <c r="D29" s="56"/>
      <c r="E29" s="56"/>
      <c r="F29" s="61">
        <f>F26+F27+F28</f>
        <v>0</v>
      </c>
    </row>
    <row r="30" ht="12.75">
      <c r="A30" s="2"/>
    </row>
    <row r="31" ht="12.75">
      <c r="A31" s="2"/>
    </row>
    <row r="32" spans="1:6" ht="37.5" customHeight="1">
      <c r="A32" s="501" t="s">
        <v>106</v>
      </c>
      <c r="B32" s="502"/>
      <c r="C32" s="502"/>
      <c r="D32" s="502"/>
      <c r="E32" s="502"/>
      <c r="F32" s="503"/>
    </row>
    <row r="33" ht="12.75">
      <c r="A33" s="3"/>
    </row>
    <row r="34" ht="13.5" thickBot="1">
      <c r="A34" s="3"/>
    </row>
    <row r="35" spans="1:6" ht="51">
      <c r="A35" s="52"/>
      <c r="B35" s="53" t="s">
        <v>8</v>
      </c>
      <c r="C35" s="53" t="s">
        <v>9</v>
      </c>
      <c r="D35" s="53"/>
      <c r="E35" s="53"/>
      <c r="F35" s="54" t="s">
        <v>10</v>
      </c>
    </row>
    <row r="36" spans="1:6" ht="12.75">
      <c r="A36" s="58" t="s">
        <v>103</v>
      </c>
      <c r="B36" s="1"/>
      <c r="C36" s="1">
        <v>1</v>
      </c>
      <c r="D36" s="1"/>
      <c r="E36" s="1"/>
      <c r="F36" s="59">
        <f>ROUND(B36*C36,2)</f>
        <v>0</v>
      </c>
    </row>
    <row r="37" spans="1:6" ht="13.5" thickBot="1">
      <c r="A37" s="63"/>
      <c r="B37" s="56"/>
      <c r="C37" s="56"/>
      <c r="D37" s="56"/>
      <c r="E37" s="56"/>
      <c r="F37" s="61">
        <f>ROUND(B37*C37*D37*E37,2)</f>
        <v>0</v>
      </c>
    </row>
    <row r="40" spans="1:6" ht="18.75">
      <c r="A40" s="497" t="s">
        <v>107</v>
      </c>
      <c r="B40" s="498"/>
      <c r="C40" s="498"/>
      <c r="D40" s="498"/>
      <c r="E40" s="498"/>
      <c r="F40" s="498"/>
    </row>
    <row r="41" ht="13.5" thickBot="1"/>
    <row r="42" spans="1:6" ht="25.5">
      <c r="A42" s="57"/>
      <c r="B42" s="53" t="s">
        <v>16</v>
      </c>
      <c r="C42" s="53" t="s">
        <v>17</v>
      </c>
      <c r="D42" s="53" t="s">
        <v>0</v>
      </c>
      <c r="E42" s="43" t="s">
        <v>1</v>
      </c>
      <c r="F42" s="54" t="s">
        <v>18</v>
      </c>
    </row>
    <row r="43" spans="1:6" ht="12.75">
      <c r="A43" s="45"/>
      <c r="B43" s="1"/>
      <c r="C43" s="1"/>
      <c r="D43" s="1"/>
      <c r="E43" s="1"/>
      <c r="F43" s="59">
        <f>ROUND(B43*C43*D43*E43,2)</f>
        <v>0</v>
      </c>
    </row>
    <row r="44" spans="1:6" ht="12.75">
      <c r="A44" s="45"/>
      <c r="B44" s="1"/>
      <c r="C44" s="1"/>
      <c r="D44" s="1"/>
      <c r="E44" s="1"/>
      <c r="F44" s="59">
        <f>ROUND(B44*C44*D44*E44,2)</f>
        <v>0</v>
      </c>
    </row>
    <row r="45" spans="1:6" ht="13.5" thickBot="1">
      <c r="A45" s="47"/>
      <c r="B45" s="56"/>
      <c r="C45" s="56"/>
      <c r="D45" s="56"/>
      <c r="E45" s="56"/>
      <c r="F45" s="61">
        <f>ROUND(B45*C45*D45*E45,2)</f>
        <v>0</v>
      </c>
    </row>
    <row r="49" spans="1:82" s="15" customFormat="1" ht="12.75">
      <c r="A49" s="130" t="s">
        <v>140</v>
      </c>
      <c r="C49" s="131"/>
      <c r="D49" s="11"/>
      <c r="E49" s="156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</row>
    <row r="50" spans="8:82" s="15" customFormat="1" ht="12.75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</row>
    <row r="51" spans="8:82" s="15" customFormat="1" ht="12.75"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</row>
    <row r="52" spans="1:82" s="15" customFormat="1" ht="12.75">
      <c r="A52" t="s">
        <v>125</v>
      </c>
      <c r="D52" s="11"/>
      <c r="E52" s="156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7:82" s="15" customFormat="1" ht="12.75"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</row>
  </sheetData>
  <sheetProtection/>
  <mergeCells count="5">
    <mergeCell ref="A40:F40"/>
    <mergeCell ref="E1:F1"/>
    <mergeCell ref="A2:F2"/>
    <mergeCell ref="A23:F23"/>
    <mergeCell ref="A32:F3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3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7.75390625" style="3" customWidth="1"/>
    <col min="2" max="2" width="10.875" style="3" customWidth="1"/>
    <col min="3" max="3" width="13.375" style="0" customWidth="1"/>
    <col min="4" max="4" width="13.625" style="0" customWidth="1"/>
    <col min="5" max="5" width="10.25390625" style="0" customWidth="1"/>
    <col min="6" max="6" width="15.375" style="0" customWidth="1"/>
    <col min="7" max="7" width="10.875" style="0" customWidth="1"/>
    <col min="8" max="8" width="11.75390625" style="0" bestFit="1" customWidth="1"/>
    <col min="11" max="11" width="15.625" style="0" customWidth="1"/>
    <col min="13" max="13" width="17.25390625" style="0" customWidth="1"/>
  </cols>
  <sheetData>
    <row r="1" ht="12.75">
      <c r="F1" s="11"/>
    </row>
    <row r="2" spans="1:6" ht="15">
      <c r="A2" s="504" t="s">
        <v>15</v>
      </c>
      <c r="B2" s="504"/>
      <c r="C2" s="504"/>
      <c r="D2" s="504"/>
      <c r="E2" s="504"/>
      <c r="F2" s="504"/>
    </row>
    <row r="4" ht="13.5" thickBot="1"/>
    <row r="5" spans="1:12" s="2" customFormat="1" ht="63.75">
      <c r="A5" s="52"/>
      <c r="B5" s="68" t="s">
        <v>121</v>
      </c>
      <c r="C5" s="53" t="s">
        <v>9</v>
      </c>
      <c r="D5" s="53" t="s">
        <v>134</v>
      </c>
      <c r="E5" s="144" t="s">
        <v>1</v>
      </c>
      <c r="F5" s="54" t="s">
        <v>110</v>
      </c>
      <c r="J5" s="2" t="s">
        <v>435</v>
      </c>
      <c r="L5" s="2" t="s">
        <v>436</v>
      </c>
    </row>
    <row r="6" spans="1:6" ht="12.75" hidden="1">
      <c r="A6" s="45" t="s">
        <v>70</v>
      </c>
      <c r="B6" s="69" t="s">
        <v>122</v>
      </c>
      <c r="C6" s="70"/>
      <c r="D6" s="70"/>
      <c r="E6" s="70">
        <v>1</v>
      </c>
      <c r="F6" s="71">
        <f aca="true" t="shared" si="0" ref="F6:F18">ROUND(C6*D6*E6,2)</f>
        <v>0</v>
      </c>
    </row>
    <row r="7" spans="1:13" ht="12.75">
      <c r="A7" s="45" t="s">
        <v>70</v>
      </c>
      <c r="B7" s="69" t="s">
        <v>122</v>
      </c>
      <c r="C7" s="70">
        <v>3105</v>
      </c>
      <c r="D7" s="70">
        <v>17.73</v>
      </c>
      <c r="E7" s="70">
        <v>1</v>
      </c>
      <c r="F7" s="71">
        <f t="shared" si="0"/>
        <v>55051.65</v>
      </c>
      <c r="J7">
        <v>1038</v>
      </c>
      <c r="K7">
        <v>18652.14</v>
      </c>
      <c r="L7">
        <v>10387</v>
      </c>
      <c r="M7">
        <v>12379.26</v>
      </c>
    </row>
    <row r="8" spans="1:13" ht="12.75">
      <c r="A8" s="45" t="s">
        <v>70</v>
      </c>
      <c r="B8" s="69" t="s">
        <v>122</v>
      </c>
      <c r="C8" s="70">
        <v>2726</v>
      </c>
      <c r="D8" s="70">
        <v>18.42</v>
      </c>
      <c r="E8" s="70">
        <v>1</v>
      </c>
      <c r="F8" s="71">
        <f t="shared" si="0"/>
        <v>50212.92</v>
      </c>
      <c r="J8">
        <v>1280</v>
      </c>
      <c r="K8">
        <v>23110.47</v>
      </c>
      <c r="L8">
        <v>2106.55</v>
      </c>
      <c r="M8">
        <v>25203.04</v>
      </c>
    </row>
    <row r="9" spans="1:6" ht="12.75" hidden="1">
      <c r="A9" s="45" t="s">
        <v>70</v>
      </c>
      <c r="B9" s="69" t="s">
        <v>122</v>
      </c>
      <c r="C9" s="70"/>
      <c r="D9" s="70"/>
      <c r="E9" s="70"/>
      <c r="F9" s="71">
        <f t="shared" si="0"/>
        <v>0</v>
      </c>
    </row>
    <row r="10" spans="1:6" ht="12.75" hidden="1">
      <c r="A10" s="45" t="s">
        <v>70</v>
      </c>
      <c r="B10" s="69" t="s">
        <v>122</v>
      </c>
      <c r="C10" s="70"/>
      <c r="D10" s="70"/>
      <c r="E10" s="70"/>
      <c r="F10" s="71">
        <f t="shared" si="0"/>
        <v>0</v>
      </c>
    </row>
    <row r="11" spans="1:13" ht="12.75">
      <c r="A11" s="45" t="s">
        <v>69</v>
      </c>
      <c r="B11" s="69" t="s">
        <v>122</v>
      </c>
      <c r="C11" s="70">
        <v>4612.8</v>
      </c>
      <c r="D11" s="70">
        <v>11.77</v>
      </c>
      <c r="E11" s="70">
        <v>1</v>
      </c>
      <c r="F11" s="71">
        <f t="shared" si="0"/>
        <v>54292.66</v>
      </c>
      <c r="J11">
        <v>2782</v>
      </c>
      <c r="K11">
        <v>50313.63</v>
      </c>
      <c r="L11">
        <v>3450.78</v>
      </c>
      <c r="M11">
        <v>41357.63</v>
      </c>
    </row>
    <row r="12" spans="1:13" ht="12.75">
      <c r="A12" s="45" t="s">
        <v>69</v>
      </c>
      <c r="B12" s="69" t="s">
        <v>122</v>
      </c>
      <c r="C12" s="70">
        <v>3521.76</v>
      </c>
      <c r="D12" s="70">
        <v>12.22</v>
      </c>
      <c r="E12" s="70">
        <v>1</v>
      </c>
      <c r="F12" s="71">
        <f>ROUND(C12*D12*E12,2)-0.01</f>
        <v>43035.9</v>
      </c>
      <c r="J12">
        <v>731</v>
      </c>
      <c r="K12">
        <v>13188.33</v>
      </c>
      <c r="L12">
        <v>1545.23</v>
      </c>
      <c r="M12">
        <v>18459.26</v>
      </c>
    </row>
    <row r="13" spans="1:6" ht="12.75">
      <c r="A13" s="55" t="s">
        <v>11</v>
      </c>
      <c r="B13" s="69" t="s">
        <v>122</v>
      </c>
      <c r="C13" s="70">
        <v>1513.85</v>
      </c>
      <c r="D13" s="70">
        <v>115.41</v>
      </c>
      <c r="E13" s="70">
        <v>1</v>
      </c>
      <c r="F13" s="71">
        <f t="shared" si="0"/>
        <v>174713.43</v>
      </c>
    </row>
    <row r="14" spans="1:6" ht="12.75" hidden="1">
      <c r="A14" s="55" t="s">
        <v>11</v>
      </c>
      <c r="B14" s="69" t="s">
        <v>122</v>
      </c>
      <c r="C14" s="70"/>
      <c r="D14" s="70"/>
      <c r="E14" s="70"/>
      <c r="F14" s="71">
        <f t="shared" si="0"/>
        <v>0</v>
      </c>
    </row>
    <row r="15" spans="1:13" ht="12.75">
      <c r="A15" s="55" t="s">
        <v>11</v>
      </c>
      <c r="B15" s="72" t="s">
        <v>122</v>
      </c>
      <c r="C15" s="70">
        <v>795.769</v>
      </c>
      <c r="D15" s="70">
        <v>121.92</v>
      </c>
      <c r="E15" s="70">
        <v>1</v>
      </c>
      <c r="F15" s="71">
        <f t="shared" si="0"/>
        <v>97020.16</v>
      </c>
      <c r="J15">
        <f>SUM(J7:J14)</f>
        <v>5831</v>
      </c>
      <c r="K15">
        <f>SUM(K7:K14)</f>
        <v>105264.56999999999</v>
      </c>
      <c r="L15">
        <f>SUM(L7:L14)</f>
        <v>17489.56</v>
      </c>
      <c r="M15">
        <f>SUM(M7:M14)</f>
        <v>97399.18999999999</v>
      </c>
    </row>
    <row r="16" spans="1:6" ht="12.75">
      <c r="A16" s="55" t="s">
        <v>11</v>
      </c>
      <c r="B16" s="72" t="s">
        <v>122</v>
      </c>
      <c r="C16" s="70"/>
      <c r="D16" s="70"/>
      <c r="E16" s="70">
        <v>1</v>
      </c>
      <c r="F16" s="71">
        <f t="shared" si="0"/>
        <v>0</v>
      </c>
    </row>
    <row r="17" spans="1:8" ht="12.75">
      <c r="A17" s="55" t="s">
        <v>12</v>
      </c>
      <c r="B17" s="72" t="s">
        <v>123</v>
      </c>
      <c r="C17" s="70">
        <v>995.17054</v>
      </c>
      <c r="D17" s="70">
        <v>1480.76</v>
      </c>
      <c r="E17" s="70">
        <v>1</v>
      </c>
      <c r="F17" s="71">
        <f t="shared" si="0"/>
        <v>1473608.73</v>
      </c>
      <c r="H17" s="161"/>
    </row>
    <row r="18" spans="1:8" ht="12.75">
      <c r="A18" s="55" t="s">
        <v>12</v>
      </c>
      <c r="B18" s="72" t="s">
        <v>123</v>
      </c>
      <c r="C18" s="70">
        <v>188.64</v>
      </c>
      <c r="D18" s="70">
        <v>1568.23</v>
      </c>
      <c r="E18" s="70">
        <v>1</v>
      </c>
      <c r="F18" s="71">
        <f t="shared" si="0"/>
        <v>295830.91</v>
      </c>
      <c r="H18" s="161"/>
    </row>
    <row r="19" spans="1:8" ht="38.25">
      <c r="A19" s="45" t="s">
        <v>148</v>
      </c>
      <c r="B19" s="72" t="s">
        <v>124</v>
      </c>
      <c r="C19" s="70"/>
      <c r="D19" s="70">
        <v>988273.64</v>
      </c>
      <c r="E19" s="70">
        <v>1</v>
      </c>
      <c r="F19" s="71">
        <f>ROUND(D19*E19,2)</f>
        <v>988273.64</v>
      </c>
      <c r="H19" s="161"/>
    </row>
    <row r="20" spans="1:8" ht="23.25" customHeight="1" thickBot="1">
      <c r="A20" s="47" t="s">
        <v>14</v>
      </c>
      <c r="B20" s="292" t="s">
        <v>122</v>
      </c>
      <c r="C20" s="73"/>
      <c r="D20" s="73"/>
      <c r="E20" s="73">
        <v>1</v>
      </c>
      <c r="F20" s="74">
        <f>ROUND(C20*D20*E20,2)</f>
        <v>0</v>
      </c>
      <c r="H20" s="161"/>
    </row>
    <row r="21" spans="1:6" ht="21.75" customHeight="1" hidden="1" thickBot="1">
      <c r="A21" s="316" t="s">
        <v>14</v>
      </c>
      <c r="B21" s="317" t="s">
        <v>122</v>
      </c>
      <c r="C21" s="318"/>
      <c r="D21" s="318"/>
      <c r="E21" s="318"/>
      <c r="F21" s="319">
        <f>ROUND(C21*D21*E21,2)</f>
        <v>0</v>
      </c>
    </row>
    <row r="22" spans="6:8" ht="12.75">
      <c r="F22" s="389">
        <v>3232040</v>
      </c>
      <c r="H22" s="33"/>
    </row>
    <row r="23" spans="3:8" ht="12.75">
      <c r="C23" s="33"/>
      <c r="H23" s="33"/>
    </row>
    <row r="24" ht="12.75">
      <c r="C24" s="33"/>
    </row>
    <row r="25" spans="3:8" ht="12.75">
      <c r="C25" s="33"/>
      <c r="H25" s="33"/>
    </row>
    <row r="26" spans="1:81" s="15" customFormat="1" ht="12.75">
      <c r="A26" s="130" t="s">
        <v>140</v>
      </c>
      <c r="C26" s="131"/>
      <c r="D26" s="11" t="s">
        <v>433</v>
      </c>
      <c r="E26" s="15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</row>
    <row r="27" spans="7:81" s="15" customFormat="1" ht="12.75"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</row>
    <row r="28" spans="7:81" s="15" customFormat="1" ht="12.75"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</row>
    <row r="29" spans="1:81" s="15" customFormat="1" ht="12.75">
      <c r="A29" t="s">
        <v>125</v>
      </c>
      <c r="D29" s="11" t="s">
        <v>434</v>
      </c>
      <c r="E29" s="15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</row>
    <row r="30" spans="6:81" s="15" customFormat="1" ht="12.75"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</row>
  </sheetData>
  <sheetProtection/>
  <mergeCells count="1">
    <mergeCell ref="A2:F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20"/>
  <sheetViews>
    <sheetView zoomScalePageLayoutView="0" workbookViewId="0" topLeftCell="A6">
      <selection activeCell="A1" sqref="A1:F22"/>
    </sheetView>
  </sheetViews>
  <sheetFormatPr defaultColWidth="9.00390625" defaultRowHeight="12.75"/>
  <cols>
    <col min="1" max="1" width="18.875" style="0" customWidth="1"/>
    <col min="2" max="2" width="15.75390625" style="0" customWidth="1"/>
    <col min="3" max="3" width="14.125" style="0" customWidth="1"/>
    <col min="4" max="4" width="11.25390625" style="0" customWidth="1"/>
    <col min="6" max="6" width="13.25390625" style="0" customWidth="1"/>
  </cols>
  <sheetData>
    <row r="1" spans="5:6" ht="12.75">
      <c r="E1" s="499" t="s">
        <v>137</v>
      </c>
      <c r="F1" s="499"/>
    </row>
    <row r="2" spans="1:4" ht="18.75">
      <c r="A2" s="497" t="s">
        <v>25</v>
      </c>
      <c r="B2" s="499"/>
      <c r="C2" s="499"/>
      <c r="D2" s="499"/>
    </row>
    <row r="3" spans="1:4" ht="18.75">
      <c r="A3" s="14"/>
      <c r="B3" s="11"/>
      <c r="C3" s="11"/>
      <c r="D3" s="11"/>
    </row>
    <row r="4" spans="1:4" ht="19.5" thickBot="1">
      <c r="A4" s="14"/>
      <c r="B4" s="11"/>
      <c r="C4" s="11"/>
      <c r="D4" s="11"/>
    </row>
    <row r="5" spans="1:4" s="10" customFormat="1" ht="48" customHeight="1">
      <c r="A5" s="64"/>
      <c r="B5" s="43" t="s">
        <v>23</v>
      </c>
      <c r="C5" s="65" t="s">
        <v>24</v>
      </c>
      <c r="D5" s="44" t="s">
        <v>25</v>
      </c>
    </row>
    <row r="6" spans="1:4" ht="12.75">
      <c r="A6" s="66" t="s">
        <v>27</v>
      </c>
      <c r="B6" s="163">
        <v>22266409</v>
      </c>
      <c r="C6" s="24">
        <v>0.022</v>
      </c>
      <c r="D6" s="59">
        <f>ROUND(B6*C6,0)</f>
        <v>489861</v>
      </c>
    </row>
    <row r="7" spans="1:4" ht="12.75">
      <c r="A7" s="66" t="s">
        <v>26</v>
      </c>
      <c r="B7" s="163">
        <v>58630132</v>
      </c>
      <c r="C7" s="24">
        <v>0.015</v>
      </c>
      <c r="D7" s="59">
        <f>ROUND(B7*C7,0)</f>
        <v>879452</v>
      </c>
    </row>
    <row r="8" spans="1:4" ht="12.75">
      <c r="A8" s="66" t="s">
        <v>91</v>
      </c>
      <c r="B8" s="1"/>
      <c r="C8" s="24"/>
      <c r="D8" s="59">
        <f>ROUND(B8*C8,2)</f>
        <v>0</v>
      </c>
    </row>
    <row r="9" spans="1:4" ht="12.75">
      <c r="A9" s="66" t="s">
        <v>92</v>
      </c>
      <c r="B9" s="1"/>
      <c r="C9" s="24"/>
      <c r="D9" s="59">
        <f>ROUND(B9*C9,2)</f>
        <v>0</v>
      </c>
    </row>
    <row r="10" spans="1:4" ht="13.5" thickBot="1">
      <c r="A10" s="67" t="s">
        <v>109</v>
      </c>
      <c r="B10" s="299">
        <v>2600</v>
      </c>
      <c r="C10" s="56">
        <v>1</v>
      </c>
      <c r="D10" s="61">
        <f>ROUND(B10*C10,2)</f>
        <v>2600</v>
      </c>
    </row>
    <row r="16" spans="1:82" s="15" customFormat="1" ht="12.75">
      <c r="A16" s="130" t="s">
        <v>140</v>
      </c>
      <c r="C16" s="131"/>
      <c r="D16" s="11" t="s">
        <v>433</v>
      </c>
      <c r="E16" s="156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8:82" s="15" customFormat="1" ht="12.75"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8:82" s="15" customFormat="1" ht="12.75"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s="15" customFormat="1" ht="12.75">
      <c r="A19" t="s">
        <v>125</v>
      </c>
      <c r="D19" s="11" t="s">
        <v>434</v>
      </c>
      <c r="E19" s="156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7:82" s="15" customFormat="1" ht="12.75"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</sheetData>
  <sheetProtection/>
  <mergeCells count="2">
    <mergeCell ref="A2:D2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D126"/>
  <sheetViews>
    <sheetView zoomScalePageLayoutView="0" workbookViewId="0" topLeftCell="A113">
      <selection activeCell="F126" sqref="F126"/>
    </sheetView>
  </sheetViews>
  <sheetFormatPr defaultColWidth="9.00390625" defaultRowHeight="12.75"/>
  <cols>
    <col min="1" max="1" width="29.00390625" style="15" customWidth="1"/>
    <col min="2" max="2" width="20.125" style="15" customWidth="1"/>
    <col min="3" max="3" width="20.125" style="15" hidden="1" customWidth="1"/>
    <col min="4" max="4" width="25.875" style="15" customWidth="1"/>
    <col min="5" max="5" width="12.00390625" style="15" hidden="1" customWidth="1"/>
    <col min="6" max="6" width="25.875" style="15" customWidth="1"/>
    <col min="7" max="9" width="18.375" style="40" customWidth="1"/>
    <col min="10" max="82" width="9.125" style="40" customWidth="1"/>
    <col min="83" max="16384" width="9.125" style="15" customWidth="1"/>
  </cols>
  <sheetData>
    <row r="1" spans="1:6" ht="18.75">
      <c r="A1" s="497" t="s">
        <v>112</v>
      </c>
      <c r="B1" s="497"/>
      <c r="C1" s="497"/>
      <c r="D1" s="497"/>
      <c r="E1" s="497"/>
      <c r="F1" s="497"/>
    </row>
    <row r="2" spans="1:6" ht="62.25" customHeight="1">
      <c r="A2" s="524" t="s">
        <v>139</v>
      </c>
      <c r="B2" s="524"/>
      <c r="C2" s="524"/>
      <c r="D2" s="524"/>
      <c r="E2" s="524"/>
      <c r="F2" s="524"/>
    </row>
    <row r="3" spans="1:6" ht="37.5" customHeight="1">
      <c r="A3" s="525" t="s">
        <v>381</v>
      </c>
      <c r="B3" s="525"/>
      <c r="C3" s="525"/>
      <c r="D3" s="525"/>
      <c r="E3" s="525"/>
      <c r="F3" s="525"/>
    </row>
    <row r="5" spans="1:6" ht="44.25" customHeight="1">
      <c r="A5" s="495" t="s">
        <v>138</v>
      </c>
      <c r="B5" s="523"/>
      <c r="C5" s="523"/>
      <c r="D5" s="523"/>
      <c r="E5" s="523"/>
      <c r="F5" s="523"/>
    </row>
    <row r="6" spans="1:6" ht="31.5" customHeight="1">
      <c r="A6" s="38" t="s">
        <v>116</v>
      </c>
      <c r="B6" s="39"/>
      <c r="C6" s="39"/>
      <c r="D6" s="151">
        <f>'мун.задание'!P68</f>
        <v>816</v>
      </c>
      <c r="E6" s="39"/>
      <c r="F6" s="39"/>
    </row>
    <row r="7" spans="1:6" ht="40.5" customHeight="1" thickBot="1">
      <c r="A7" s="495" t="s">
        <v>28</v>
      </c>
      <c r="B7" s="523"/>
      <c r="C7" s="523"/>
      <c r="D7" s="523"/>
      <c r="E7" s="523"/>
      <c r="F7" s="523"/>
    </row>
    <row r="8" spans="1:6" ht="54.75" customHeight="1" thickBot="1">
      <c r="A8" s="75" t="s">
        <v>29</v>
      </c>
      <c r="B8" s="76" t="s">
        <v>30</v>
      </c>
      <c r="C8" s="76" t="s">
        <v>0</v>
      </c>
      <c r="D8" s="76" t="s">
        <v>31</v>
      </c>
      <c r="E8" s="76" t="s">
        <v>1</v>
      </c>
      <c r="F8" s="77" t="s">
        <v>32</v>
      </c>
    </row>
    <row r="9" spans="1:6" ht="42.75" customHeight="1" thickBot="1">
      <c r="A9" s="517" t="s">
        <v>113</v>
      </c>
      <c r="B9" s="518"/>
      <c r="C9" s="518"/>
      <c r="D9" s="518"/>
      <c r="E9" s="518"/>
      <c r="F9" s="519"/>
    </row>
    <row r="10" spans="1:6" ht="45">
      <c r="A10" s="78" t="s">
        <v>67</v>
      </c>
      <c r="B10" s="79" t="s">
        <v>58</v>
      </c>
      <c r="C10" s="80">
        <v>5</v>
      </c>
      <c r="D10" s="79">
        <f>ROUND(F10/$D$6,2)</f>
        <v>17716.7</v>
      </c>
      <c r="E10" s="79"/>
      <c r="F10" s="81">
        <f>F16</f>
        <v>14456829.57</v>
      </c>
    </row>
    <row r="11" spans="1:6" ht="54.75" customHeight="1">
      <c r="A11" s="82" t="s">
        <v>68</v>
      </c>
      <c r="B11" s="17" t="s">
        <v>58</v>
      </c>
      <c r="C11" s="21">
        <v>9</v>
      </c>
      <c r="D11" s="20">
        <f>ROUND(F11/$D$6,2)</f>
        <v>5350.44</v>
      </c>
      <c r="E11" s="17"/>
      <c r="F11" s="83">
        <f>F17</f>
        <v>4365962.53</v>
      </c>
    </row>
    <row r="12" spans="1:6" ht="45">
      <c r="A12" s="85" t="s">
        <v>60</v>
      </c>
      <c r="B12" s="17" t="s">
        <v>58</v>
      </c>
      <c r="C12" s="17"/>
      <c r="D12" s="20">
        <f>ROUND(F12/$D$6,2)</f>
        <v>318</v>
      </c>
      <c r="E12" s="17"/>
      <c r="F12" s="84">
        <f>F18</f>
        <v>259488</v>
      </c>
    </row>
    <row r="13" spans="1:6" ht="22.5">
      <c r="A13" s="381" t="s">
        <v>421</v>
      </c>
      <c r="B13" s="17" t="s">
        <v>58</v>
      </c>
      <c r="C13" s="21"/>
      <c r="D13" s="20">
        <f>ROUND(F13/$D$6,2)</f>
        <v>37.35</v>
      </c>
      <c r="E13" s="21"/>
      <c r="F13" s="380">
        <f>F19</f>
        <v>30478</v>
      </c>
    </row>
    <row r="14" spans="1:6" ht="13.5" thickBot="1">
      <c r="A14" s="86" t="s">
        <v>96</v>
      </c>
      <c r="B14" s="87"/>
      <c r="C14" s="87"/>
      <c r="D14" s="87">
        <f>ROUND(F14/$D$6,2)</f>
        <v>23422.5</v>
      </c>
      <c r="E14" s="87"/>
      <c r="F14" s="88">
        <f>SUM(F10:F13)</f>
        <v>19112758.1</v>
      </c>
    </row>
    <row r="15" spans="1:6" ht="45" customHeight="1" thickBot="1">
      <c r="A15" s="517" t="s">
        <v>416</v>
      </c>
      <c r="B15" s="518"/>
      <c r="C15" s="518"/>
      <c r="D15" s="518"/>
      <c r="E15" s="518"/>
      <c r="F15" s="519"/>
    </row>
    <row r="16" spans="1:6" ht="45.75" customHeight="1">
      <c r="A16" s="78" t="s">
        <v>67</v>
      </c>
      <c r="B16" s="79" t="s">
        <v>58</v>
      </c>
      <c r="C16" s="80">
        <v>5</v>
      </c>
      <c r="D16" s="79">
        <f>ROUND(F16/$D$6,2)</f>
        <v>17716.7</v>
      </c>
      <c r="E16" s="79"/>
      <c r="F16" s="81">
        <f>'прил.1+2'!G9</f>
        <v>14456829.57</v>
      </c>
    </row>
    <row r="17" spans="1:6" ht="58.5" customHeight="1">
      <c r="A17" s="82" t="s">
        <v>68</v>
      </c>
      <c r="B17" s="17" t="s">
        <v>58</v>
      </c>
      <c r="C17" s="21">
        <v>9</v>
      </c>
      <c r="D17" s="20">
        <f>ROUND(F17/$D$6,2)</f>
        <v>5350.44</v>
      </c>
      <c r="E17" s="17"/>
      <c r="F17" s="83">
        <f>'прил.1+2'!H9</f>
        <v>4365962.53</v>
      </c>
    </row>
    <row r="18" spans="1:6" ht="45">
      <c r="A18" s="85" t="s">
        <v>60</v>
      </c>
      <c r="B18" s="17" t="s">
        <v>58</v>
      </c>
      <c r="C18" s="17"/>
      <c r="D18" s="20">
        <f>ROUND(F18/$D$6,2)</f>
        <v>318</v>
      </c>
      <c r="E18" s="17"/>
      <c r="F18" s="84">
        <f>'прил.1+2'!F13</f>
        <v>259488</v>
      </c>
    </row>
    <row r="19" spans="1:6" ht="22.5">
      <c r="A19" s="381" t="str">
        <f>A13</f>
        <v> затраты на доп. проф. образование педагогических работников</v>
      </c>
      <c r="B19" s="17" t="s">
        <v>58</v>
      </c>
      <c r="C19" s="21"/>
      <c r="D19" s="20">
        <f>ROUND(F19/$D$6,2)</f>
        <v>37.35</v>
      </c>
      <c r="E19" s="21"/>
      <c r="F19" s="380">
        <f>'прил.1+2'!F14</f>
        <v>30478</v>
      </c>
    </row>
    <row r="20" spans="1:82" s="31" customFormat="1" ht="21.75" customHeight="1" thickBot="1">
      <c r="A20" s="86" t="s">
        <v>96</v>
      </c>
      <c r="B20" s="87"/>
      <c r="C20" s="87"/>
      <c r="D20" s="87">
        <f>ROUND(F20/D6,2)</f>
        <v>23422.5</v>
      </c>
      <c r="E20" s="87"/>
      <c r="F20" s="88">
        <f>SUM(F16:F19)</f>
        <v>19112758.1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6" ht="21" customHeight="1">
      <c r="A21" s="522" t="s">
        <v>71</v>
      </c>
      <c r="B21" s="518"/>
      <c r="C21" s="518"/>
      <c r="D21" s="518"/>
      <c r="E21" s="518"/>
      <c r="F21" s="518"/>
    </row>
    <row r="22" spans="1:6" ht="48" customHeight="1" thickBot="1">
      <c r="A22" s="520" t="s">
        <v>126</v>
      </c>
      <c r="B22" s="521"/>
      <c r="C22" s="521"/>
      <c r="D22" s="521"/>
      <c r="E22" s="521"/>
      <c r="F22" s="521"/>
    </row>
    <row r="23" spans="1:6" ht="43.5" customHeight="1">
      <c r="A23" s="78" t="s">
        <v>66</v>
      </c>
      <c r="B23" s="79" t="s">
        <v>58</v>
      </c>
      <c r="C23" s="79">
        <v>5</v>
      </c>
      <c r="D23" s="79">
        <f>ROUND(F23/$D$6,2)</f>
        <v>17851.11</v>
      </c>
      <c r="E23" s="79">
        <v>1</v>
      </c>
      <c r="F23" s="81">
        <f>'прил.1+2'!G30</f>
        <v>14566502.43</v>
      </c>
    </row>
    <row r="24" spans="1:6" ht="48" customHeight="1" hidden="1">
      <c r="A24" s="89" t="s">
        <v>66</v>
      </c>
      <c r="B24" s="17" t="s">
        <v>58</v>
      </c>
      <c r="C24" s="21">
        <v>4</v>
      </c>
      <c r="D24" s="20"/>
      <c r="E24" s="17"/>
      <c r="F24" s="84"/>
    </row>
    <row r="25" spans="1:6" ht="66" customHeight="1">
      <c r="A25" s="89" t="s">
        <v>65</v>
      </c>
      <c r="B25" s="17" t="s">
        <v>58</v>
      </c>
      <c r="C25" s="21">
        <v>9</v>
      </c>
      <c r="D25" s="20">
        <f>ROUND(F25/$D$6,2)</f>
        <v>5391.03</v>
      </c>
      <c r="E25" s="17">
        <v>1</v>
      </c>
      <c r="F25" s="84">
        <f>'прил.1+2'!H30</f>
        <v>4399082.470000001</v>
      </c>
    </row>
    <row r="26" spans="1:6" ht="26.25" customHeight="1">
      <c r="A26" s="82" t="s">
        <v>64</v>
      </c>
      <c r="B26" s="17" t="s">
        <v>58</v>
      </c>
      <c r="C26" s="21">
        <v>12</v>
      </c>
      <c r="D26" s="20">
        <f>ROUND(F26/$D$6,2)</f>
        <v>1.47</v>
      </c>
      <c r="E26" s="17">
        <v>1</v>
      </c>
      <c r="F26" s="84">
        <f>'прил.1+2'!E37</f>
        <v>1200</v>
      </c>
    </row>
    <row r="27" spans="1:82" s="31" customFormat="1" ht="26.25" customHeight="1" thickBot="1">
      <c r="A27" s="90" t="s">
        <v>96</v>
      </c>
      <c r="B27" s="87"/>
      <c r="C27" s="87"/>
      <c r="D27" s="88">
        <f>ROUND(F27/$D$6,2)</f>
        <v>23243.61</v>
      </c>
      <c r="E27" s="87"/>
      <c r="F27" s="88">
        <f>SUM(F23:F26)</f>
        <v>18966784.9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</row>
    <row r="28" spans="1:6" ht="48" customHeight="1" thickBot="1">
      <c r="A28" s="520" t="s">
        <v>417</v>
      </c>
      <c r="B28" s="521"/>
      <c r="C28" s="521"/>
      <c r="D28" s="521"/>
      <c r="E28" s="521"/>
      <c r="F28" s="521"/>
    </row>
    <row r="29" spans="1:6" ht="43.5" customHeight="1">
      <c r="A29" s="78" t="s">
        <v>66</v>
      </c>
      <c r="B29" s="79" t="s">
        <v>58</v>
      </c>
      <c r="C29" s="79">
        <v>5</v>
      </c>
      <c r="D29" s="79">
        <f>ROUND(F29/$D$6,2)</f>
        <v>17851.11</v>
      </c>
      <c r="E29" s="79">
        <v>1</v>
      </c>
      <c r="F29" s="81">
        <f>'прил.1+2'!G33</f>
        <v>14566502.43</v>
      </c>
    </row>
    <row r="30" spans="1:6" ht="48" customHeight="1" hidden="1">
      <c r="A30" s="89" t="s">
        <v>66</v>
      </c>
      <c r="B30" s="17" t="s">
        <v>58</v>
      </c>
      <c r="C30" s="21">
        <v>4</v>
      </c>
      <c r="D30" s="20">
        <f>ROUND(F30/$D$6,2)</f>
        <v>0</v>
      </c>
      <c r="E30" s="17"/>
      <c r="F30" s="84"/>
    </row>
    <row r="31" spans="1:6" ht="66" customHeight="1">
      <c r="A31" s="89" t="s">
        <v>65</v>
      </c>
      <c r="B31" s="17" t="s">
        <v>58</v>
      </c>
      <c r="C31" s="21">
        <v>9</v>
      </c>
      <c r="D31" s="20">
        <f>ROUND(F31/$D$6,2)</f>
        <v>5391.03</v>
      </c>
      <c r="E31" s="17">
        <v>1</v>
      </c>
      <c r="F31" s="84">
        <f>'прил.1+2'!H33</f>
        <v>4399082.470000001</v>
      </c>
    </row>
    <row r="32" spans="1:6" ht="26.25" customHeight="1">
      <c r="A32" s="82" t="s">
        <v>64</v>
      </c>
      <c r="B32" s="17" t="s">
        <v>58</v>
      </c>
      <c r="C32" s="21">
        <v>12</v>
      </c>
      <c r="D32" s="20">
        <f>ROUND(F32/$D$6,2)</f>
        <v>1.47</v>
      </c>
      <c r="E32" s="17">
        <v>1</v>
      </c>
      <c r="F32" s="84">
        <f>'прил.1+2'!E37</f>
        <v>1200</v>
      </c>
    </row>
    <row r="33" spans="1:82" s="31" customFormat="1" ht="26.25" customHeight="1" thickBot="1">
      <c r="A33" s="90" t="s">
        <v>96</v>
      </c>
      <c r="B33" s="87"/>
      <c r="C33" s="87"/>
      <c r="D33" s="88">
        <f>ROUND(F33/$D$6,2)</f>
        <v>23243.61</v>
      </c>
      <c r="E33" s="87"/>
      <c r="F33" s="88">
        <f>SUM(F29:F32)</f>
        <v>18966784.9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6" ht="21.75" customHeight="1" thickBot="1">
      <c r="A34" s="505" t="s">
        <v>129</v>
      </c>
      <c r="B34" s="505"/>
      <c r="C34" s="505"/>
      <c r="D34" s="505"/>
      <c r="E34" s="505"/>
      <c r="F34" s="505"/>
    </row>
    <row r="35" spans="1:6" ht="12.75">
      <c r="A35" s="42" t="s">
        <v>83</v>
      </c>
      <c r="B35" s="79" t="s">
        <v>58</v>
      </c>
      <c r="C35" s="79">
        <v>12</v>
      </c>
      <c r="D35" s="79">
        <f aca="true" t="shared" si="0" ref="D35:D46">ROUND(F35/$D$6,2)</f>
        <v>91.56</v>
      </c>
      <c r="E35" s="79"/>
      <c r="F35" s="81">
        <f>'прил.3'!F6</f>
        <v>74712</v>
      </c>
    </row>
    <row r="36" spans="1:6" ht="12.75">
      <c r="A36" s="382">
        <f>'прил.3'!A7</f>
        <v>0</v>
      </c>
      <c r="B36" s="17" t="s">
        <v>58</v>
      </c>
      <c r="C36" s="20"/>
      <c r="D36" s="20">
        <f t="shared" si="0"/>
        <v>0</v>
      </c>
      <c r="E36" s="20"/>
      <c r="F36" s="83">
        <f>'прил.3'!F7</f>
        <v>0</v>
      </c>
    </row>
    <row r="37" spans="1:6" ht="12.75">
      <c r="A37" s="45" t="s">
        <v>84</v>
      </c>
      <c r="B37" s="17" t="s">
        <v>58</v>
      </c>
      <c r="C37" s="17">
        <v>12</v>
      </c>
      <c r="D37" s="20">
        <f t="shared" si="0"/>
        <v>86.12</v>
      </c>
      <c r="E37" s="17"/>
      <c r="F37" s="84">
        <f>'прил.3'!F8</f>
        <v>70272</v>
      </c>
    </row>
    <row r="38" spans="1:6" ht="12.75">
      <c r="A38" s="45" t="s">
        <v>85</v>
      </c>
      <c r="B38" s="17" t="s">
        <v>58</v>
      </c>
      <c r="C38" s="17">
        <v>12</v>
      </c>
      <c r="D38" s="20">
        <f t="shared" si="0"/>
        <v>19.18</v>
      </c>
      <c r="E38" s="17"/>
      <c r="F38" s="84">
        <f>'прил.3'!F9</f>
        <v>15654.300000000001</v>
      </c>
    </row>
    <row r="39" spans="1:7" ht="25.5">
      <c r="A39" s="45" t="s">
        <v>86</v>
      </c>
      <c r="B39" s="17" t="s">
        <v>58</v>
      </c>
      <c r="C39" s="17">
        <v>12</v>
      </c>
      <c r="D39" s="20">
        <f t="shared" si="0"/>
        <v>15.12</v>
      </c>
      <c r="E39" s="17"/>
      <c r="F39" s="84">
        <f>'прил.3'!F10</f>
        <v>12338.400000000001</v>
      </c>
      <c r="G39" s="41"/>
    </row>
    <row r="40" spans="1:6" ht="12.75">
      <c r="A40" s="45" t="s">
        <v>87</v>
      </c>
      <c r="B40" s="17" t="s">
        <v>58</v>
      </c>
      <c r="C40" s="17">
        <v>12</v>
      </c>
      <c r="D40" s="20">
        <f t="shared" si="0"/>
        <v>58.83</v>
      </c>
      <c r="E40" s="17"/>
      <c r="F40" s="84">
        <f>'прил.3'!F13</f>
        <v>48004.8</v>
      </c>
    </row>
    <row r="41" spans="1:6" ht="25.5">
      <c r="A41" s="45" t="s">
        <v>88</v>
      </c>
      <c r="B41" s="17" t="s">
        <v>58</v>
      </c>
      <c r="C41" s="17">
        <v>12</v>
      </c>
      <c r="D41" s="20">
        <f t="shared" si="0"/>
        <v>0</v>
      </c>
      <c r="E41" s="17"/>
      <c r="F41" s="84">
        <f>'прил.3'!F14</f>
        <v>0</v>
      </c>
    </row>
    <row r="42" spans="1:6" ht="12.75">
      <c r="A42" s="45" t="s">
        <v>428</v>
      </c>
      <c r="B42" s="17" t="s">
        <v>58</v>
      </c>
      <c r="C42" s="17">
        <v>12</v>
      </c>
      <c r="D42" s="20">
        <f t="shared" si="0"/>
        <v>9.73</v>
      </c>
      <c r="E42" s="17"/>
      <c r="F42" s="84">
        <f>'прил.3'!F11+'прил.3'!F12</f>
        <v>7936.27</v>
      </c>
    </row>
    <row r="43" spans="1:6" ht="12.75">
      <c r="A43" s="45" t="str">
        <f>'прил.3'!A15</f>
        <v>поверка и ремонт теплосчетчиков</v>
      </c>
      <c r="B43" s="17" t="s">
        <v>58</v>
      </c>
      <c r="C43" s="17"/>
      <c r="D43" s="20">
        <f t="shared" si="0"/>
        <v>9.07</v>
      </c>
      <c r="E43" s="17"/>
      <c r="F43" s="84">
        <f>'прил.3'!F15</f>
        <v>7400</v>
      </c>
    </row>
    <row r="44" spans="1:6" ht="12.75">
      <c r="A44" s="45" t="s">
        <v>108</v>
      </c>
      <c r="B44" s="17" t="s">
        <v>58</v>
      </c>
      <c r="C44" s="17">
        <v>12</v>
      </c>
      <c r="D44" s="20">
        <f t="shared" si="0"/>
        <v>18.38</v>
      </c>
      <c r="E44" s="17"/>
      <c r="F44" s="84">
        <f>'прил.3'!F16</f>
        <v>15000</v>
      </c>
    </row>
    <row r="45" spans="1:6" ht="12.75">
      <c r="A45" s="91" t="s">
        <v>150</v>
      </c>
      <c r="B45" s="17" t="s">
        <v>58</v>
      </c>
      <c r="C45" s="17">
        <v>13</v>
      </c>
      <c r="D45" s="20">
        <f t="shared" si="0"/>
        <v>199.23</v>
      </c>
      <c r="E45" s="17"/>
      <c r="F45" s="84">
        <f>'прил.3'!F33</f>
        <v>162572.03</v>
      </c>
    </row>
    <row r="46" spans="1:82" s="31" customFormat="1" ht="13.5" thickBot="1">
      <c r="A46" s="92" t="s">
        <v>96</v>
      </c>
      <c r="B46" s="93"/>
      <c r="C46" s="93"/>
      <c r="D46" s="88">
        <f t="shared" si="0"/>
        <v>507.22</v>
      </c>
      <c r="E46" s="87"/>
      <c r="F46" s="88">
        <f>SUM(F35:F45)</f>
        <v>413889.8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</row>
    <row r="47" spans="1:6" ht="18" customHeight="1" thickBot="1">
      <c r="A47" s="505" t="s">
        <v>128</v>
      </c>
      <c r="B47" s="505"/>
      <c r="C47" s="505"/>
      <c r="D47" s="505"/>
      <c r="E47" s="505"/>
      <c r="F47" s="505"/>
    </row>
    <row r="48" spans="1:6" ht="12.75">
      <c r="A48" s="94" t="s">
        <v>82</v>
      </c>
      <c r="B48" s="79" t="s">
        <v>58</v>
      </c>
      <c r="C48" s="79">
        <v>12</v>
      </c>
      <c r="D48" s="79">
        <f>ROUND(F48/$D$6,2)</f>
        <v>81.84</v>
      </c>
      <c r="E48" s="79"/>
      <c r="F48" s="95">
        <f>'прил.3'!F53</f>
        <v>66781</v>
      </c>
    </row>
    <row r="49" spans="1:6" ht="38.25" hidden="1">
      <c r="A49" s="91" t="s">
        <v>33</v>
      </c>
      <c r="B49" s="16"/>
      <c r="C49" s="16"/>
      <c r="D49" s="16"/>
      <c r="E49" s="16"/>
      <c r="F49" s="96"/>
    </row>
    <row r="50" spans="1:6" ht="38.25" hidden="1">
      <c r="A50" s="91" t="s">
        <v>34</v>
      </c>
      <c r="B50" s="16"/>
      <c r="C50" s="16"/>
      <c r="D50" s="16"/>
      <c r="E50" s="16"/>
      <c r="F50" s="96"/>
    </row>
    <row r="51" spans="1:6" ht="38.25" hidden="1">
      <c r="A51" s="91" t="s">
        <v>35</v>
      </c>
      <c r="B51" s="16"/>
      <c r="C51" s="16"/>
      <c r="D51" s="16"/>
      <c r="E51" s="16"/>
      <c r="F51" s="96"/>
    </row>
    <row r="52" spans="1:6" ht="25.5" hidden="1">
      <c r="A52" s="91" t="s">
        <v>36</v>
      </c>
      <c r="B52" s="16"/>
      <c r="C52" s="16"/>
      <c r="D52" s="16"/>
      <c r="E52" s="16"/>
      <c r="F52" s="96"/>
    </row>
    <row r="53" spans="1:6" ht="38.25" hidden="1">
      <c r="A53" s="91" t="s">
        <v>37</v>
      </c>
      <c r="B53" s="16"/>
      <c r="C53" s="16"/>
      <c r="D53" s="16"/>
      <c r="E53" s="16"/>
      <c r="F53" s="96"/>
    </row>
    <row r="54" spans="1:6" ht="31.5" customHeight="1" hidden="1">
      <c r="A54" s="510" t="s">
        <v>38</v>
      </c>
      <c r="B54" s="511"/>
      <c r="C54" s="511"/>
      <c r="D54" s="511"/>
      <c r="E54" s="511"/>
      <c r="F54" s="512"/>
    </row>
    <row r="55" spans="1:6" ht="12.75" hidden="1">
      <c r="A55" s="91" t="s">
        <v>39</v>
      </c>
      <c r="B55" s="16"/>
      <c r="C55" s="16"/>
      <c r="D55" s="16"/>
      <c r="E55" s="16"/>
      <c r="F55" s="96"/>
    </row>
    <row r="56" spans="1:6" ht="38.25" hidden="1">
      <c r="A56" s="91" t="s">
        <v>40</v>
      </c>
      <c r="B56" s="16"/>
      <c r="C56" s="16"/>
      <c r="D56" s="16"/>
      <c r="E56" s="16"/>
      <c r="F56" s="96"/>
    </row>
    <row r="57" spans="1:6" ht="12.75" hidden="1">
      <c r="A57" s="91" t="s">
        <v>41</v>
      </c>
      <c r="B57" s="16"/>
      <c r="C57" s="16"/>
      <c r="D57" s="16"/>
      <c r="E57" s="16"/>
      <c r="F57" s="96"/>
    </row>
    <row r="58" spans="1:6" ht="25.5" hidden="1">
      <c r="A58" s="91" t="s">
        <v>42</v>
      </c>
      <c r="B58" s="16"/>
      <c r="C58" s="16"/>
      <c r="D58" s="16"/>
      <c r="E58" s="16"/>
      <c r="F58" s="96"/>
    </row>
    <row r="59" spans="1:6" ht="51" hidden="1">
      <c r="A59" s="91" t="s">
        <v>43</v>
      </c>
      <c r="B59" s="16"/>
      <c r="C59" s="16"/>
      <c r="D59" s="16"/>
      <c r="E59" s="16"/>
      <c r="F59" s="96"/>
    </row>
    <row r="60" spans="1:6" ht="25.5" hidden="1">
      <c r="A60" s="91" t="s">
        <v>44</v>
      </c>
      <c r="B60" s="16"/>
      <c r="C60" s="16"/>
      <c r="D60" s="16"/>
      <c r="E60" s="16"/>
      <c r="F60" s="96"/>
    </row>
    <row r="61" spans="1:6" ht="31.5" customHeight="1" hidden="1">
      <c r="A61" s="510" t="s">
        <v>45</v>
      </c>
      <c r="B61" s="511"/>
      <c r="C61" s="511"/>
      <c r="D61" s="511"/>
      <c r="E61" s="511"/>
      <c r="F61" s="512"/>
    </row>
    <row r="62" spans="1:6" ht="25.5" hidden="1">
      <c r="A62" s="91" t="s">
        <v>46</v>
      </c>
      <c r="B62" s="16"/>
      <c r="C62" s="16"/>
      <c r="D62" s="16"/>
      <c r="E62" s="16"/>
      <c r="F62" s="96"/>
    </row>
    <row r="63" spans="1:6" ht="25.5" hidden="1">
      <c r="A63" s="91" t="s">
        <v>47</v>
      </c>
      <c r="B63" s="16"/>
      <c r="C63" s="16"/>
      <c r="D63" s="16"/>
      <c r="E63" s="16"/>
      <c r="F63" s="96"/>
    </row>
    <row r="64" spans="1:6" ht="25.5" hidden="1">
      <c r="A64" s="91" t="s">
        <v>48</v>
      </c>
      <c r="B64" s="16"/>
      <c r="C64" s="16"/>
      <c r="D64" s="16"/>
      <c r="E64" s="16"/>
      <c r="F64" s="96"/>
    </row>
    <row r="65" spans="1:6" ht="12.75" hidden="1">
      <c r="A65" s="91" t="s">
        <v>49</v>
      </c>
      <c r="B65" s="16"/>
      <c r="C65" s="16"/>
      <c r="D65" s="16"/>
      <c r="E65" s="16"/>
      <c r="F65" s="96"/>
    </row>
    <row r="66" spans="1:6" ht="25.5" hidden="1">
      <c r="A66" s="91" t="s">
        <v>50</v>
      </c>
      <c r="B66" s="16"/>
      <c r="C66" s="16"/>
      <c r="D66" s="16"/>
      <c r="E66" s="16"/>
      <c r="F66" s="96"/>
    </row>
    <row r="67" spans="1:6" ht="25.5" hidden="1">
      <c r="A67" s="91" t="s">
        <v>51</v>
      </c>
      <c r="B67" s="16"/>
      <c r="C67" s="16"/>
      <c r="D67" s="16"/>
      <c r="E67" s="16"/>
      <c r="F67" s="96"/>
    </row>
    <row r="68" spans="1:6" ht="25.5" hidden="1">
      <c r="A68" s="91" t="s">
        <v>52</v>
      </c>
      <c r="B68" s="16"/>
      <c r="C68" s="16"/>
      <c r="D68" s="16"/>
      <c r="E68" s="16"/>
      <c r="F68" s="96"/>
    </row>
    <row r="69" spans="1:6" ht="25.5" hidden="1">
      <c r="A69" s="91" t="s">
        <v>53</v>
      </c>
      <c r="B69" s="16"/>
      <c r="C69" s="16"/>
      <c r="D69" s="16"/>
      <c r="E69" s="16"/>
      <c r="F69" s="96"/>
    </row>
    <row r="70" spans="1:6" ht="25.5" hidden="1">
      <c r="A70" s="91" t="s">
        <v>54</v>
      </c>
      <c r="B70" s="16"/>
      <c r="C70" s="16"/>
      <c r="D70" s="16"/>
      <c r="E70" s="16"/>
      <c r="F70" s="96"/>
    </row>
    <row r="71" spans="1:6" ht="25.5" hidden="1">
      <c r="A71" s="91" t="s">
        <v>55</v>
      </c>
      <c r="B71" s="16"/>
      <c r="C71" s="16"/>
      <c r="D71" s="16"/>
      <c r="E71" s="16"/>
      <c r="F71" s="96"/>
    </row>
    <row r="72" spans="1:6" ht="25.5" hidden="1">
      <c r="A72" s="91" t="s">
        <v>56</v>
      </c>
      <c r="B72" s="16"/>
      <c r="C72" s="16"/>
      <c r="D72" s="16"/>
      <c r="E72" s="16"/>
      <c r="F72" s="96"/>
    </row>
    <row r="73" spans="1:6" ht="12.75">
      <c r="A73" s="91"/>
      <c r="B73" s="16"/>
      <c r="C73" s="16"/>
      <c r="D73" s="16"/>
      <c r="E73" s="16"/>
      <c r="F73" s="97">
        <f>ROUND(C73*D73,2)</f>
        <v>0</v>
      </c>
    </row>
    <row r="74" spans="1:82" s="31" customFormat="1" ht="13.5" thickBot="1">
      <c r="A74" s="92" t="s">
        <v>96</v>
      </c>
      <c r="B74" s="93"/>
      <c r="C74" s="93"/>
      <c r="D74" s="98">
        <f>ROUND(F74/$D$6,2)</f>
        <v>81.84</v>
      </c>
      <c r="E74" s="93"/>
      <c r="F74" s="98">
        <f>SUM(F48+F73)</f>
        <v>66781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</row>
    <row r="75" spans="1:6" ht="15.75">
      <c r="A75" s="505" t="s">
        <v>136</v>
      </c>
      <c r="B75" s="505"/>
      <c r="C75" s="505"/>
      <c r="D75" s="505"/>
      <c r="E75" s="505"/>
      <c r="F75" s="505"/>
    </row>
    <row r="76" spans="1:6" ht="15.75" hidden="1">
      <c r="A76" s="139" t="s">
        <v>142</v>
      </c>
      <c r="B76" s="17" t="s">
        <v>58</v>
      </c>
      <c r="C76" s="16"/>
      <c r="D76" s="17">
        <f>ROUND(F76/D6,2)</f>
        <v>0</v>
      </c>
      <c r="E76" s="140"/>
      <c r="F76" s="17"/>
    </row>
    <row r="77" spans="1:6" ht="15.75">
      <c r="A77" s="139" t="s">
        <v>145</v>
      </c>
      <c r="B77" s="17" t="s">
        <v>58</v>
      </c>
      <c r="C77" s="16"/>
      <c r="D77" s="17">
        <f>ROUND(F77/$D$6,2)</f>
        <v>0</v>
      </c>
      <c r="E77" s="140"/>
      <c r="F77" s="140">
        <f>'прил.3'!D67</f>
        <v>0</v>
      </c>
    </row>
    <row r="78" spans="1:6" ht="15.75">
      <c r="A78" s="139" t="s">
        <v>147</v>
      </c>
      <c r="B78" s="17" t="s">
        <v>58</v>
      </c>
      <c r="C78" s="16"/>
      <c r="D78" s="17">
        <f>ROUND(F78/$D$6,2)</f>
        <v>329.67</v>
      </c>
      <c r="E78" s="140"/>
      <c r="F78" s="25">
        <f>'прил.3'!F72+'прил.3'!F73+'прил.3'!F75+'прил.3'!F76+'прил.3'!F74</f>
        <v>269010</v>
      </c>
    </row>
    <row r="79" spans="1:6" ht="12.75">
      <c r="A79" s="91" t="s">
        <v>156</v>
      </c>
      <c r="B79" s="17" t="s">
        <v>58</v>
      </c>
      <c r="C79" s="16"/>
      <c r="D79" s="20">
        <f>ROUND(F79/$D$6,2)</f>
        <v>30.29</v>
      </c>
      <c r="E79" s="16"/>
      <c r="F79" s="387">
        <f>'прил.3'!F78</f>
        <v>24720</v>
      </c>
    </row>
    <row r="80" spans="1:6" ht="12.75">
      <c r="A80" s="153" t="s">
        <v>150</v>
      </c>
      <c r="B80" s="17" t="s">
        <v>58</v>
      </c>
      <c r="C80" s="16"/>
      <c r="D80" s="20">
        <f>ROUND(F80/$D$6,2)</f>
        <v>7.11</v>
      </c>
      <c r="E80" s="154"/>
      <c r="F80" s="97">
        <f>'прил.3'!F79+'прил.3'!F86</f>
        <v>5800</v>
      </c>
    </row>
    <row r="81" spans="1:82" s="37" customFormat="1" ht="13.5" thickBot="1">
      <c r="A81" s="99" t="s">
        <v>89</v>
      </c>
      <c r="B81" s="100"/>
      <c r="C81" s="100"/>
      <c r="D81" s="101">
        <f>ROUND(F81/$D$6,2)</f>
        <v>367.07</v>
      </c>
      <c r="E81" s="100"/>
      <c r="F81" s="101">
        <f>SUM(F76:F80)</f>
        <v>299530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</row>
    <row r="82" spans="1:82" s="35" customFormat="1" ht="18.75" hidden="1">
      <c r="A82" s="507" t="s">
        <v>97</v>
      </c>
      <c r="B82" s="508"/>
      <c r="C82" s="508"/>
      <c r="D82" s="508"/>
      <c r="E82" s="508"/>
      <c r="F82" s="508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</row>
    <row r="83" spans="1:82" s="35" customFormat="1" ht="36.75" customHeight="1" thickBot="1">
      <c r="A83" s="515" t="s">
        <v>135</v>
      </c>
      <c r="B83" s="515"/>
      <c r="C83" s="515"/>
      <c r="D83" s="515"/>
      <c r="E83" s="515"/>
      <c r="F83" s="516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</row>
    <row r="84" spans="1:82" s="35" customFormat="1" ht="12.75">
      <c r="A84" s="102" t="s">
        <v>98</v>
      </c>
      <c r="B84" s="79" t="s">
        <v>58</v>
      </c>
      <c r="C84" s="103">
        <v>12</v>
      </c>
      <c r="D84" s="79">
        <f>ROUND(F84/D6,2)</f>
        <v>0</v>
      </c>
      <c r="E84" s="104"/>
      <c r="F84" s="81">
        <f>'прил.4'!F6</f>
        <v>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</row>
    <row r="85" spans="1:82" s="35" customFormat="1" ht="12.75">
      <c r="A85" s="58" t="s">
        <v>99</v>
      </c>
      <c r="B85" s="17" t="s">
        <v>58</v>
      </c>
      <c r="C85" s="36">
        <v>12</v>
      </c>
      <c r="D85" s="20">
        <f>ROUND(F85/D6,2)</f>
        <v>0</v>
      </c>
      <c r="E85" s="34"/>
      <c r="F85" s="84">
        <f>'прил.4'!F7</f>
        <v>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</row>
    <row r="86" spans="1:82" s="31" customFormat="1" ht="13.5" thickBot="1">
      <c r="A86" s="92" t="s">
        <v>89</v>
      </c>
      <c r="B86" s="93"/>
      <c r="C86" s="93"/>
      <c r="D86" s="88">
        <f>D84+D85</f>
        <v>0</v>
      </c>
      <c r="E86" s="93"/>
      <c r="F86" s="88">
        <f>F84+F85</f>
        <v>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</row>
    <row r="87" spans="1:82" s="35" customFormat="1" ht="16.5" thickBot="1">
      <c r="A87" s="500" t="s">
        <v>127</v>
      </c>
      <c r="B87" s="500"/>
      <c r="C87" s="500"/>
      <c r="D87" s="500"/>
      <c r="E87" s="500"/>
      <c r="F87" s="506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</row>
    <row r="88" spans="1:82" s="35" customFormat="1" ht="12.75">
      <c r="A88" s="102" t="s">
        <v>100</v>
      </c>
      <c r="B88" s="79" t="s">
        <v>58</v>
      </c>
      <c r="C88" s="103">
        <v>12</v>
      </c>
      <c r="D88" s="79">
        <f>ROUND(F88/D6,2)</f>
        <v>0</v>
      </c>
      <c r="E88" s="104"/>
      <c r="F88" s="105">
        <f>'прил.4'!F26</f>
        <v>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</row>
    <row r="89" spans="1:82" s="35" customFormat="1" ht="12.75">
      <c r="A89" s="58" t="s">
        <v>101</v>
      </c>
      <c r="B89" s="17" t="s">
        <v>58</v>
      </c>
      <c r="C89" s="36">
        <v>12</v>
      </c>
      <c r="D89" s="20">
        <f>ROUND(F89/D6,2)</f>
        <v>0</v>
      </c>
      <c r="E89" s="34"/>
      <c r="F89" s="106">
        <f>'прил.4'!F27</f>
        <v>0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</row>
    <row r="90" spans="1:82" s="35" customFormat="1" ht="12.75">
      <c r="A90" s="58" t="s">
        <v>102</v>
      </c>
      <c r="B90" s="17" t="s">
        <v>58</v>
      </c>
      <c r="C90" s="34"/>
      <c r="D90" s="36"/>
      <c r="E90" s="34"/>
      <c r="F90" s="106">
        <f>ROUND('прил.4'!F28/12,2)</f>
        <v>0</v>
      </c>
      <c r="G90" s="41" t="s">
        <v>90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</row>
    <row r="91" spans="1:82" s="35" customFormat="1" ht="12.75">
      <c r="A91" s="58"/>
      <c r="B91" s="17" t="s">
        <v>58</v>
      </c>
      <c r="C91" s="34"/>
      <c r="D91" s="36"/>
      <c r="E91" s="34"/>
      <c r="F91" s="106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</row>
    <row r="92" spans="1:82" s="31" customFormat="1" ht="13.5" thickBot="1">
      <c r="A92" s="92" t="s">
        <v>89</v>
      </c>
      <c r="B92" s="93"/>
      <c r="C92" s="93"/>
      <c r="D92" s="88">
        <f>D88+D89+D90+D91</f>
        <v>0</v>
      </c>
      <c r="E92" s="93"/>
      <c r="F92" s="88">
        <f>F88+F89+F90+F91</f>
        <v>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</row>
    <row r="93" spans="1:82" s="35" customFormat="1" ht="33" customHeight="1" thickBot="1">
      <c r="A93" s="491" t="s">
        <v>132</v>
      </c>
      <c r="B93" s="491"/>
      <c r="C93" s="491"/>
      <c r="D93" s="491"/>
      <c r="E93" s="491"/>
      <c r="F93" s="50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</row>
    <row r="94" spans="1:82" s="35" customFormat="1" ht="12.75">
      <c r="A94" s="102" t="s">
        <v>103</v>
      </c>
      <c r="B94" s="79" t="s">
        <v>58</v>
      </c>
      <c r="C94" s="104"/>
      <c r="D94" s="79">
        <f>ROUND(F94/D6,2)</f>
        <v>0</v>
      </c>
      <c r="E94" s="104"/>
      <c r="F94" s="105">
        <f>'прил.4'!F36</f>
        <v>0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</row>
    <row r="95" spans="1:82" s="31" customFormat="1" ht="13.5" thickBot="1">
      <c r="A95" s="92" t="s">
        <v>89</v>
      </c>
      <c r="B95" s="93"/>
      <c r="C95" s="93"/>
      <c r="D95" s="88">
        <f>D94</f>
        <v>0</v>
      </c>
      <c r="E95" s="93"/>
      <c r="F95" s="88">
        <f>F94</f>
        <v>0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</row>
    <row r="96" spans="1:82" s="35" customFormat="1" ht="16.5" thickBot="1">
      <c r="A96" s="500" t="s">
        <v>133</v>
      </c>
      <c r="B96" s="500"/>
      <c r="C96" s="500"/>
      <c r="D96" s="500"/>
      <c r="E96" s="500"/>
      <c r="F96" s="506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</row>
    <row r="97" spans="1:82" s="35" customFormat="1" ht="12.75">
      <c r="A97" s="102"/>
      <c r="B97" s="79" t="s">
        <v>58</v>
      </c>
      <c r="C97" s="104"/>
      <c r="D97" s="79">
        <f>ROUND(F97/D6,2)</f>
        <v>0</v>
      </c>
      <c r="E97" s="104"/>
      <c r="F97" s="105">
        <f>'прил.4'!F43</f>
        <v>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</row>
    <row r="98" spans="1:82" s="35" customFormat="1" ht="13.5" thickBot="1">
      <c r="A98" s="109"/>
      <c r="B98" s="110" t="s">
        <v>58</v>
      </c>
      <c r="C98" s="111"/>
      <c r="D98" s="112">
        <f>ROUND(F98/D6,2)</f>
        <v>0</v>
      </c>
      <c r="E98" s="111"/>
      <c r="F98" s="113">
        <f>'прил.4'!F44</f>
        <v>0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</row>
    <row r="99" spans="1:82" s="31" customFormat="1" ht="12.75">
      <c r="A99" s="107" t="s">
        <v>89</v>
      </c>
      <c r="B99" s="107"/>
      <c r="C99" s="107"/>
      <c r="D99" s="108">
        <f>D97+D98</f>
        <v>0</v>
      </c>
      <c r="E99" s="107"/>
      <c r="F99" s="108">
        <f>F97+F98</f>
        <v>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</row>
    <row r="100" spans="1:82" s="35" customFormat="1" ht="16.5" thickBot="1">
      <c r="A100" s="514" t="s">
        <v>130</v>
      </c>
      <c r="B100" s="514"/>
      <c r="C100" s="514"/>
      <c r="D100" s="514"/>
      <c r="E100" s="514"/>
      <c r="F100" s="514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</row>
    <row r="101" spans="1:82" s="35" customFormat="1" ht="12.75">
      <c r="A101" s="42" t="s">
        <v>70</v>
      </c>
      <c r="B101" s="79" t="s">
        <v>58</v>
      </c>
      <c r="C101" s="79">
        <v>12</v>
      </c>
      <c r="D101" s="114">
        <f aca="true" t="shared" si="1" ref="D101:D108">ROUND(F101/$D$6,2)</f>
        <v>129</v>
      </c>
      <c r="E101" s="79"/>
      <c r="F101" s="81">
        <f>'прил.5'!F7+'прил.5'!F8</f>
        <v>105264.57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</row>
    <row r="102" spans="1:82" s="35" customFormat="1" ht="12.75">
      <c r="A102" s="45" t="s">
        <v>69</v>
      </c>
      <c r="B102" s="17" t="s">
        <v>58</v>
      </c>
      <c r="C102" s="17">
        <v>12</v>
      </c>
      <c r="D102" s="25">
        <f t="shared" si="1"/>
        <v>119.28</v>
      </c>
      <c r="E102" s="17"/>
      <c r="F102" s="84">
        <f>'прил.5'!F11+'прил.5'!F12</f>
        <v>97328.56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</row>
    <row r="103" spans="1:82" s="35" customFormat="1" ht="12.75">
      <c r="A103" s="55" t="s">
        <v>11</v>
      </c>
      <c r="B103" s="17" t="s">
        <v>58</v>
      </c>
      <c r="C103" s="17">
        <v>12</v>
      </c>
      <c r="D103" s="25">
        <f t="shared" si="1"/>
        <v>333.01</v>
      </c>
      <c r="E103" s="17"/>
      <c r="F103" s="84">
        <f>'прил.5'!F13+'прил.5'!F15+'прил.5'!F16</f>
        <v>271733.58999999997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</row>
    <row r="104" spans="1:82" s="35" customFormat="1" ht="12.75">
      <c r="A104" s="55" t="s">
        <v>12</v>
      </c>
      <c r="B104" s="17" t="s">
        <v>58</v>
      </c>
      <c r="C104" s="17">
        <v>12</v>
      </c>
      <c r="D104" s="25">
        <f t="shared" si="1"/>
        <v>2168.43</v>
      </c>
      <c r="E104" s="17"/>
      <c r="F104" s="84">
        <f>'прил.5'!F17+'прил.5'!F18</f>
        <v>1769439.64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</row>
    <row r="105" spans="1:82" s="35" customFormat="1" ht="12.75">
      <c r="A105" s="55" t="s">
        <v>13</v>
      </c>
      <c r="B105" s="17" t="s">
        <v>58</v>
      </c>
      <c r="C105" s="17">
        <v>12</v>
      </c>
      <c r="D105" s="25">
        <f t="shared" si="1"/>
        <v>1211.12</v>
      </c>
      <c r="E105" s="17"/>
      <c r="F105" s="84">
        <f>'прил.5'!F19</f>
        <v>988273.64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</row>
    <row r="106" spans="1:82" s="35" customFormat="1" ht="25.5">
      <c r="A106" s="45" t="s">
        <v>14</v>
      </c>
      <c r="B106" s="17" t="s">
        <v>58</v>
      </c>
      <c r="C106" s="17">
        <v>12</v>
      </c>
      <c r="D106" s="25">
        <f t="shared" si="1"/>
        <v>0</v>
      </c>
      <c r="E106" s="17"/>
      <c r="F106" s="84">
        <f>'прил.5'!F20</f>
        <v>0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</row>
    <row r="107" spans="1:82" s="35" customFormat="1" ht="13.5" thickBot="1">
      <c r="A107" s="115" t="s">
        <v>89</v>
      </c>
      <c r="B107" s="116"/>
      <c r="C107" s="116"/>
      <c r="D107" s="118">
        <f t="shared" si="1"/>
        <v>3960.83</v>
      </c>
      <c r="E107" s="117"/>
      <c r="F107" s="118">
        <f>SUM(F101:F106)</f>
        <v>3232040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1:82" s="29" customFormat="1" ht="26.25" thickBot="1">
      <c r="A108" s="119" t="s">
        <v>115</v>
      </c>
      <c r="B108" s="120"/>
      <c r="C108" s="120"/>
      <c r="D108" s="121">
        <f t="shared" si="1"/>
        <v>28160.57</v>
      </c>
      <c r="E108" s="120"/>
      <c r="F108" s="122">
        <f>F107+F99+F95+F92+F86+F81+F74+F46+F33</f>
        <v>22979025.7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1:6" ht="19.5" thickBot="1">
      <c r="A109" s="513" t="s">
        <v>131</v>
      </c>
      <c r="B109" s="513"/>
      <c r="C109" s="513"/>
      <c r="D109" s="513"/>
      <c r="E109" s="513"/>
      <c r="F109" s="513"/>
    </row>
    <row r="110" spans="1:6" ht="12.75">
      <c r="A110" s="94" t="s">
        <v>57</v>
      </c>
      <c r="B110" s="79" t="s">
        <v>58</v>
      </c>
      <c r="C110" s="123">
        <v>0.022</v>
      </c>
      <c r="D110" s="114">
        <f aca="true" t="shared" si="2" ref="D110:D118">ROUND(F110/$D$6,2)</f>
        <v>600.32</v>
      </c>
      <c r="E110" s="79"/>
      <c r="F110" s="81">
        <f>'прил.6'!D6</f>
        <v>489861</v>
      </c>
    </row>
    <row r="111" spans="1:6" ht="12.75">
      <c r="A111" s="91" t="s">
        <v>59</v>
      </c>
      <c r="B111" s="17" t="s">
        <v>58</v>
      </c>
      <c r="C111" s="19">
        <v>0.015</v>
      </c>
      <c r="D111" s="25">
        <f t="shared" si="2"/>
        <v>1077.76</v>
      </c>
      <c r="E111" s="17"/>
      <c r="F111" s="84">
        <f>'прил.6'!D7</f>
        <v>879452</v>
      </c>
    </row>
    <row r="112" spans="1:6" ht="12.75">
      <c r="A112" s="124" t="s">
        <v>91</v>
      </c>
      <c r="B112" s="17" t="s">
        <v>58</v>
      </c>
      <c r="C112" s="19"/>
      <c r="D112" s="25">
        <f t="shared" si="2"/>
        <v>0</v>
      </c>
      <c r="E112" s="17"/>
      <c r="F112" s="84">
        <f>'прил.6'!D8</f>
        <v>0</v>
      </c>
    </row>
    <row r="113" spans="1:6" ht="12.75">
      <c r="A113" s="91" t="s">
        <v>92</v>
      </c>
      <c r="B113" s="17" t="s">
        <v>58</v>
      </c>
      <c r="C113" s="19"/>
      <c r="D113" s="25">
        <f t="shared" si="2"/>
        <v>0</v>
      </c>
      <c r="E113" s="17"/>
      <c r="F113" s="84">
        <f>'прил.6'!D9</f>
        <v>0</v>
      </c>
    </row>
    <row r="114" spans="1:6" ht="12.75">
      <c r="A114" s="91" t="s">
        <v>109</v>
      </c>
      <c r="B114" s="17" t="s">
        <v>58</v>
      </c>
      <c r="C114" s="19"/>
      <c r="D114" s="25">
        <f t="shared" si="2"/>
        <v>3.19</v>
      </c>
      <c r="E114" s="17"/>
      <c r="F114" s="84">
        <f>'прил.6'!D10</f>
        <v>2600</v>
      </c>
    </row>
    <row r="115" spans="1:6" ht="12.75">
      <c r="A115" s="91"/>
      <c r="B115" s="17"/>
      <c r="C115" s="19"/>
      <c r="D115" s="25">
        <f t="shared" si="2"/>
        <v>0</v>
      </c>
      <c r="E115" s="17"/>
      <c r="F115" s="84"/>
    </row>
    <row r="116" spans="1:6" ht="12.75" hidden="1">
      <c r="A116" s="91"/>
      <c r="B116" s="17"/>
      <c r="C116" s="19"/>
      <c r="D116" s="25">
        <f t="shared" si="2"/>
        <v>0</v>
      </c>
      <c r="E116" s="17"/>
      <c r="F116" s="84"/>
    </row>
    <row r="117" spans="1:6" ht="12.75">
      <c r="A117" s="91"/>
      <c r="B117" s="17"/>
      <c r="C117" s="19"/>
      <c r="D117" s="25">
        <f t="shared" si="2"/>
        <v>0</v>
      </c>
      <c r="E117" s="17"/>
      <c r="F117" s="84"/>
    </row>
    <row r="118" spans="1:82" s="30" customFormat="1" ht="13.5" thickBot="1">
      <c r="A118" s="132" t="s">
        <v>89</v>
      </c>
      <c r="B118" s="133"/>
      <c r="C118" s="134"/>
      <c r="D118" s="135">
        <f t="shared" si="2"/>
        <v>1681.27</v>
      </c>
      <c r="E118" s="133"/>
      <c r="F118" s="136">
        <f>SUM(F110:F116)</f>
        <v>1371913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</row>
    <row r="119" spans="1:7" ht="19.5" thickBot="1">
      <c r="A119" s="125" t="s">
        <v>114</v>
      </c>
      <c r="B119" s="126"/>
      <c r="C119" s="126"/>
      <c r="D119" s="127">
        <f>ROUND(F119/$D$6,2)</f>
        <v>53264.33</v>
      </c>
      <c r="E119" s="128"/>
      <c r="F119" s="129">
        <f>F118+F108+F20+0.2</f>
        <v>43463697</v>
      </c>
      <c r="G119" s="148"/>
    </row>
    <row r="120" ht="12.75">
      <c r="F120" s="32"/>
    </row>
    <row r="121" ht="12.75">
      <c r="F121" s="23"/>
    </row>
    <row r="122" spans="1:7" ht="12.75">
      <c r="A122" s="130" t="s">
        <v>140</v>
      </c>
      <c r="C122" s="131"/>
      <c r="D122" s="11" t="s">
        <v>433</v>
      </c>
      <c r="E122" s="156"/>
      <c r="G122" s="15"/>
    </row>
    <row r="123" ht="12.75">
      <c r="G123" s="15"/>
    </row>
    <row r="124" ht="12.75">
      <c r="G124" s="15"/>
    </row>
    <row r="125" spans="1:7" ht="12.75">
      <c r="A125" t="s">
        <v>125</v>
      </c>
      <c r="D125" s="11" t="s">
        <v>434</v>
      </c>
      <c r="E125" s="156"/>
      <c r="G125" s="15"/>
    </row>
    <row r="126" spans="1:6" ht="12.75">
      <c r="A126" s="152"/>
      <c r="B126" s="152"/>
      <c r="C126" s="152"/>
      <c r="D126" s="152"/>
      <c r="E126" s="152"/>
      <c r="F126" s="152"/>
    </row>
  </sheetData>
  <sheetProtection/>
  <mergeCells count="22">
    <mergeCell ref="A7:F7"/>
    <mergeCell ref="A1:F1"/>
    <mergeCell ref="A2:F2"/>
    <mergeCell ref="A3:F3"/>
    <mergeCell ref="A5:F5"/>
    <mergeCell ref="A15:F15"/>
    <mergeCell ref="A109:F109"/>
    <mergeCell ref="A100:F100"/>
    <mergeCell ref="A61:F61"/>
    <mergeCell ref="A75:F75"/>
    <mergeCell ref="A83:F83"/>
    <mergeCell ref="A9:F9"/>
    <mergeCell ref="A22:F22"/>
    <mergeCell ref="A21:F21"/>
    <mergeCell ref="A87:F87"/>
    <mergeCell ref="A28:F28"/>
    <mergeCell ref="A34:F34"/>
    <mergeCell ref="A96:F96"/>
    <mergeCell ref="A82:F82"/>
    <mergeCell ref="A93:F93"/>
    <mergeCell ref="A47:F47"/>
    <mergeCell ref="A54:F5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9" r:id="rId1"/>
  <rowBreaks count="1" manualBreakCount="1">
    <brk id="41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3">
      <selection activeCell="G18" sqref="G18"/>
    </sheetView>
  </sheetViews>
  <sheetFormatPr defaultColWidth="9.00390625" defaultRowHeight="12.75"/>
  <cols>
    <col min="1" max="1" width="12.125" style="0" customWidth="1"/>
    <col min="2" max="2" width="15.625" style="0" customWidth="1"/>
    <col min="3" max="3" width="18.125" style="0" customWidth="1"/>
    <col min="4" max="4" width="15.125" style="0" customWidth="1"/>
  </cols>
  <sheetData>
    <row r="2" spans="1:4" ht="18">
      <c r="A2" s="526" t="s">
        <v>111</v>
      </c>
      <c r="B2" s="526"/>
      <c r="C2" s="526"/>
      <c r="D2" s="526"/>
    </row>
    <row r="5" spans="1:4" ht="12.75">
      <c r="A5" s="1" t="s">
        <v>93</v>
      </c>
      <c r="B5" s="1" t="s">
        <v>94</v>
      </c>
      <c r="C5" s="1" t="s">
        <v>2</v>
      </c>
      <c r="D5" s="1" t="s">
        <v>95</v>
      </c>
    </row>
    <row r="6" spans="1:4" s="26" customFormat="1" ht="12.75">
      <c r="A6" s="27"/>
      <c r="B6" s="28">
        <f>SUM(B7:B18)</f>
        <v>43463697</v>
      </c>
      <c r="C6" s="28">
        <f>'свод '!F119</f>
        <v>43463697</v>
      </c>
      <c r="D6" s="28">
        <f>SUM(D7:D18)</f>
        <v>0</v>
      </c>
    </row>
    <row r="7" spans="1:4" ht="12.75">
      <c r="A7" s="1">
        <v>211</v>
      </c>
      <c r="B7" s="150">
        <v>29023332</v>
      </c>
      <c r="C7" s="18">
        <f>'свод '!F16+'свод '!F29</f>
        <v>29023332</v>
      </c>
      <c r="D7" s="18">
        <f aca="true" t="shared" si="0" ref="D7:D18">B7-C7</f>
        <v>0</v>
      </c>
    </row>
    <row r="8" spans="1:4" ht="12.75">
      <c r="A8" s="1">
        <v>213</v>
      </c>
      <c r="B8" s="150">
        <v>8765045</v>
      </c>
      <c r="C8" s="18">
        <f>'свод '!F17+'свод '!F31</f>
        <v>8765045</v>
      </c>
      <c r="D8" s="18">
        <f t="shared" si="0"/>
        <v>0</v>
      </c>
    </row>
    <row r="9" spans="1:4" ht="12.75">
      <c r="A9" s="1">
        <v>226</v>
      </c>
      <c r="B9" s="150">
        <v>30478</v>
      </c>
      <c r="C9" s="18">
        <f>'свод '!F19</f>
        <v>30478</v>
      </c>
      <c r="D9" s="18">
        <f t="shared" si="0"/>
        <v>0</v>
      </c>
    </row>
    <row r="10" spans="1:4" ht="12.75">
      <c r="A10" s="1">
        <v>340</v>
      </c>
      <c r="B10" s="150">
        <v>259488</v>
      </c>
      <c r="C10" s="18">
        <f>'прил.1+2'!F13</f>
        <v>259488</v>
      </c>
      <c r="D10" s="18">
        <f t="shared" si="0"/>
        <v>0</v>
      </c>
    </row>
    <row r="11" spans="1:4" ht="6" customHeight="1">
      <c r="A11" s="1"/>
      <c r="B11" s="150"/>
      <c r="C11" s="18"/>
      <c r="D11" s="18"/>
    </row>
    <row r="12" spans="1:4" ht="12.75">
      <c r="A12" s="1">
        <v>212</v>
      </c>
      <c r="B12" s="150">
        <v>1200</v>
      </c>
      <c r="C12" s="18">
        <f>'свод '!F32</f>
        <v>1200</v>
      </c>
      <c r="D12" s="18">
        <f>B12-C12</f>
        <v>0</v>
      </c>
    </row>
    <row r="13" spans="1:4" ht="12.75">
      <c r="A13" s="1">
        <v>221</v>
      </c>
      <c r="B13" s="150">
        <v>66781</v>
      </c>
      <c r="C13" s="18">
        <f>'свод '!F74</f>
        <v>66781</v>
      </c>
      <c r="D13" s="18">
        <f t="shared" si="0"/>
        <v>0</v>
      </c>
    </row>
    <row r="14" spans="1:4" ht="12.75">
      <c r="A14" s="1">
        <v>223</v>
      </c>
      <c r="B14" s="150">
        <v>3232040</v>
      </c>
      <c r="C14" s="18">
        <f>'свод '!F107</f>
        <v>3232040</v>
      </c>
      <c r="D14" s="18">
        <f t="shared" si="0"/>
        <v>0</v>
      </c>
    </row>
    <row r="15" spans="1:5" ht="12.75">
      <c r="A15" s="1">
        <v>225</v>
      </c>
      <c r="B15" s="150">
        <v>365885</v>
      </c>
      <c r="C15" s="18">
        <f>'прил.3'!F6+'прил.3'!F7+'прил.3'!F8+'прил.3'!F9+'прил.3'!F10+'прил.3'!F12+'прил.3'!F16+'прил.3'!F33+'прил.3'!F15+'прил.3'!F11</f>
        <v>365885</v>
      </c>
      <c r="D15" s="18">
        <f t="shared" si="0"/>
        <v>0</v>
      </c>
      <c r="E15" t="s">
        <v>376</v>
      </c>
    </row>
    <row r="16" spans="1:4" ht="12.75">
      <c r="A16" s="1">
        <v>226</v>
      </c>
      <c r="B16" s="150">
        <v>347535</v>
      </c>
      <c r="C16" s="18">
        <f>'прил.3'!F72+'прил.3'!F73+'прил.3'!F75+'прил.3'!F74+'прил.3'!F13+'прил.3'!F14+'прил.3'!F79+'прил.3'!F78+'прил.3'!F86+0.2</f>
        <v>347535</v>
      </c>
      <c r="D16" s="18">
        <f t="shared" si="0"/>
        <v>0</v>
      </c>
    </row>
    <row r="17" spans="1:4" ht="12.75">
      <c r="A17" s="1">
        <v>290</v>
      </c>
      <c r="B17" s="150">
        <v>1371913</v>
      </c>
      <c r="C17" s="18">
        <f>'свод '!F110+'свод '!F111+'свод '!F112+'свод '!F113+'свод '!F114</f>
        <v>1371913</v>
      </c>
      <c r="D17" s="18">
        <f t="shared" si="0"/>
        <v>0</v>
      </c>
    </row>
    <row r="18" spans="1:4" ht="12.75">
      <c r="A18" s="1">
        <v>340</v>
      </c>
      <c r="B18" s="150"/>
      <c r="C18" s="18">
        <f>+'прил.3'!D67</f>
        <v>0</v>
      </c>
      <c r="D18" s="18">
        <f t="shared" si="0"/>
        <v>0</v>
      </c>
    </row>
    <row r="20" ht="12.75">
      <c r="C20" s="3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Абсалямова</dc:creator>
  <cp:keywords/>
  <dc:description/>
  <cp:lastModifiedBy>Svetlana</cp:lastModifiedBy>
  <cp:lastPrinted>2014-01-30T06:02:01Z</cp:lastPrinted>
  <dcterms:created xsi:type="dcterms:W3CDTF">2011-03-16T08:18:32Z</dcterms:created>
  <dcterms:modified xsi:type="dcterms:W3CDTF">2014-10-17T12:21:45Z</dcterms:modified>
  <cp:category/>
  <cp:version/>
  <cp:contentType/>
  <cp:contentStatus/>
</cp:coreProperties>
</file>